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15" activeTab="1"/>
  </bookViews>
  <sheets>
    <sheet name="Istruction" sheetId="1" r:id="rId1"/>
    <sheet name="Noise SI" sheetId="2" r:id="rId2"/>
    <sheet name="Calculations" sheetId="3" r:id="rId3"/>
    <sheet name="Noise Level" sheetId="4" r:id="rId4"/>
    <sheet name="Noise US" sheetId="5" r:id="rId5"/>
  </sheets>
  <definedNames>
    <definedName name="ALPHA">'Noise US'!$C$14</definedName>
  </definedNames>
  <calcPr fullCalcOnLoad="1"/>
</workbook>
</file>

<file path=xl/sharedStrings.xml><?xml version="1.0" encoding="utf-8"?>
<sst xmlns="http://schemas.openxmlformats.org/spreadsheetml/2006/main" count="116" uniqueCount="71">
  <si>
    <t xml:space="preserve"> </t>
  </si>
  <si>
    <t>Date:</t>
  </si>
  <si>
    <t>Vehicle Class</t>
  </si>
  <si>
    <t>A</t>
  </si>
  <si>
    <t>MT</t>
  </si>
  <si>
    <t>HT</t>
  </si>
  <si>
    <t>Alpha Parameter</t>
  </si>
  <si>
    <t>LEQ TOTAL</t>
  </si>
  <si>
    <t>dB</t>
  </si>
  <si>
    <t>Ref. Energy Emission Level</t>
  </si>
  <si>
    <t>Traffic Flow Adjustment</t>
  </si>
  <si>
    <t>Distance Adjustment</t>
  </si>
  <si>
    <t>Finite Roadway Adjustment</t>
  </si>
  <si>
    <t>Leq(1 hr)</t>
  </si>
  <si>
    <t>dBA</t>
  </si>
  <si>
    <t>Roadway Distance (ft)</t>
  </si>
  <si>
    <t>&lt;==Leave at 0 feet</t>
  </si>
  <si>
    <t>Do</t>
  </si>
  <si>
    <t>ft</t>
  </si>
  <si>
    <t>D</t>
  </si>
  <si>
    <t>Decibel Combination</t>
  </si>
  <si>
    <t xml:space="preserve">       PHI 1</t>
  </si>
  <si>
    <t xml:space="preserve">       PHI 2</t>
  </si>
  <si>
    <t xml:space="preserve">    DELTA PHI</t>
  </si>
  <si>
    <t xml:space="preserve">Rads  </t>
  </si>
  <si>
    <t>Degrees</t>
  </si>
  <si>
    <t>Numerical Integration</t>
  </si>
  <si>
    <t>i</t>
  </si>
  <si>
    <t>Xi</t>
  </si>
  <si>
    <t>Yi</t>
  </si>
  <si>
    <t>Ci</t>
  </si>
  <si>
    <t>Ci*Yi</t>
  </si>
  <si>
    <t>Adjustment</t>
  </si>
  <si>
    <t>For user-input alpha</t>
  </si>
  <si>
    <t>For alpha = 0.0</t>
  </si>
  <si>
    <t>Case:</t>
  </si>
  <si>
    <t>Automobiles</t>
  </si>
  <si>
    <t>Midium Trucks</t>
  </si>
  <si>
    <t>Title:</t>
  </si>
  <si>
    <t>Heavy Trucks</t>
  </si>
  <si>
    <t>degrees</t>
  </si>
  <si>
    <t xml:space="preserve">Phi 1 </t>
  </si>
  <si>
    <t>Phi 2</t>
  </si>
  <si>
    <t>Receiver Distance</t>
  </si>
  <si>
    <t>vph</t>
  </si>
  <si>
    <t>mph</t>
  </si>
  <si>
    <t>Vehicles per hour</t>
  </si>
  <si>
    <t>Average speed</t>
  </si>
  <si>
    <t>units</t>
  </si>
  <si>
    <t>type</t>
  </si>
  <si>
    <t>Calculation of Deltha PHI</t>
  </si>
  <si>
    <t>SUM</t>
  </si>
  <si>
    <t>Calculations Section</t>
  </si>
  <si>
    <t>DATA</t>
  </si>
  <si>
    <t>PARAMETER</t>
  </si>
  <si>
    <t>RESULTS FOR ROADWAY</t>
  </si>
  <si>
    <t>To use the model to estimate noise production at a particular location along the road or off the road, determine the following input data:</t>
  </si>
  <si>
    <t>Traffic Volume (vehicles per hour) of automobiles and trucks. Assume all trucks are heavy.</t>
  </si>
  <si>
    <t>Average Speed (miles per hour) of automobiles and trucks.</t>
  </si>
  <si>
    <t>Alpha Factor. It is zero for hard sites (parking lots, etc.) and 0.5 for grassy sites.</t>
  </si>
  <si>
    <t>Phi angles. They are the angles between which lies the visible road. Use 0o for a roadway segment of zero length, use -90o and +90o for a roadway segment of infinite length, and for a roadway segment of intermediate length which can be seen from the observation site, use intermediate values, as shown in the sketch below.</t>
  </si>
  <si>
    <r>
      <t xml:space="preserve">After the above input data are determined, open </t>
    </r>
    <r>
      <rPr>
        <i/>
        <sz val="10"/>
        <rFont val="Courier"/>
        <family val="3"/>
      </rPr>
      <t>airqual.xls</t>
    </r>
    <r>
      <rPr>
        <sz val="10"/>
        <rFont val="Courier"/>
        <family val="0"/>
      </rPr>
      <t xml:space="preserve"> in Microsoft Excel or a similar spreadsheet and enter the data in where it is requested.</t>
    </r>
  </si>
  <si>
    <t>When the spreadsheet data is complete, the answer will be provided in the second section. Note that this should be adjusted by -5dB for every 100 feet of deciduous forest between the source (road) and the observation location.</t>
  </si>
  <si>
    <r>
      <t>The noise model, titled "noise</t>
    </r>
    <r>
      <rPr>
        <i/>
        <sz val="10"/>
        <rFont val="Courier"/>
        <family val="3"/>
      </rPr>
      <t>.xls</t>
    </r>
    <r>
      <rPr>
        <sz val="10"/>
        <rFont val="Courier"/>
        <family val="0"/>
      </rPr>
      <t>", is a basic model that estimates the noise produced at a site by a road at a surrounding area. It is a quick, easy, approximate model that is suitable for the comparison of noise levels at sensitive areas caused by different types and amounts of traffic.</t>
    </r>
  </si>
  <si>
    <t>Via Romita</t>
  </si>
  <si>
    <t>Stato attuale</t>
  </si>
  <si>
    <t xml:space="preserve">VANDYMOD4 - FHWA TRAFFIC NOISE PREDICTION MODEL - VANDERBILT UNIVERSITY
"NO BARRIER" CASE </t>
  </si>
  <si>
    <t>km/h</t>
  </si>
  <si>
    <t>vehicles/h</t>
  </si>
  <si>
    <t>meter</t>
  </si>
  <si>
    <t>Via Baluardi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</si>
</sst>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0.0_)"/>
    <numFmt numFmtId="181" formatCode="0.00E+00_)"/>
    <numFmt numFmtId="182" formatCode="0.00_)"/>
    <numFmt numFmtId="183" formatCode="General_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)"/>
    <numFmt numFmtId="189" formatCode="d\ mmmm\ yyyy"/>
  </numFmts>
  <fonts count="53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name val="Comic Sans MS"/>
      <family val="4"/>
    </font>
    <font>
      <sz val="10"/>
      <color indexed="12"/>
      <name val="Comic Sans MS"/>
      <family val="4"/>
    </font>
    <font>
      <sz val="8"/>
      <name val="Comic Sans MS"/>
      <family val="4"/>
    </font>
    <font>
      <sz val="10"/>
      <color indexed="10"/>
      <name val="Comic Sans MS"/>
      <family val="4"/>
    </font>
    <font>
      <sz val="12"/>
      <color indexed="13"/>
      <name val="Comic Sans MS"/>
      <family val="4"/>
    </font>
    <font>
      <sz val="10"/>
      <color indexed="13"/>
      <name val="Courier"/>
      <family val="3"/>
    </font>
    <font>
      <sz val="14"/>
      <name val="Comic Sans MS"/>
      <family val="4"/>
    </font>
    <font>
      <sz val="14"/>
      <name val="Courier"/>
      <family val="3"/>
    </font>
    <font>
      <b/>
      <sz val="10"/>
      <color indexed="10"/>
      <name val="Comic Sans MS"/>
      <family val="4"/>
    </font>
    <font>
      <b/>
      <sz val="10"/>
      <color indexed="10"/>
      <name val="Courier"/>
      <family val="3"/>
    </font>
    <font>
      <u val="single"/>
      <sz val="10"/>
      <color indexed="10"/>
      <name val="Comic Sans MS"/>
      <family val="4"/>
    </font>
    <font>
      <i/>
      <sz val="10"/>
      <name val="Courier"/>
      <family val="3"/>
    </font>
    <font>
      <b/>
      <sz val="12"/>
      <name val="Comic Sans MS"/>
      <family val="4"/>
    </font>
    <font>
      <b/>
      <sz val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</cellStyleXfs>
  <cellXfs count="53">
    <xf numFmtId="180" fontId="0" fillId="0" borderId="0" xfId="0" applyAlignment="1">
      <alignment/>
    </xf>
    <xf numFmtId="180" fontId="5" fillId="0" borderId="0" xfId="0" applyFont="1" applyAlignment="1" applyProtection="1">
      <alignment horizontal="left"/>
      <protection/>
    </xf>
    <xf numFmtId="180" fontId="5" fillId="0" borderId="0" xfId="0" applyFont="1" applyAlignment="1">
      <alignment/>
    </xf>
    <xf numFmtId="180" fontId="5" fillId="0" borderId="0" xfId="0" applyFont="1" applyAlignment="1" applyProtection="1">
      <alignment horizontal="right"/>
      <protection/>
    </xf>
    <xf numFmtId="180" fontId="6" fillId="0" borderId="0" xfId="0" applyFont="1" applyAlignment="1" applyProtection="1">
      <alignment horizontal="left"/>
      <protection locked="0"/>
    </xf>
    <xf numFmtId="180" fontId="6" fillId="0" borderId="0" xfId="0" applyFont="1" applyAlignment="1" applyProtection="1">
      <alignment/>
      <protection locked="0"/>
    </xf>
    <xf numFmtId="180" fontId="8" fillId="0" borderId="0" xfId="0" applyFont="1" applyAlignment="1" applyProtection="1">
      <alignment/>
      <protection/>
    </xf>
    <xf numFmtId="180" fontId="5" fillId="0" borderId="0" xfId="0" applyFont="1" applyBorder="1" applyAlignment="1">
      <alignment/>
    </xf>
    <xf numFmtId="180" fontId="6" fillId="0" borderId="0" xfId="0" applyFont="1" applyBorder="1" applyAlignment="1" applyProtection="1">
      <alignment/>
      <protection locked="0"/>
    </xf>
    <xf numFmtId="180" fontId="5" fillId="0" borderId="0" xfId="0" applyFont="1" applyBorder="1" applyAlignment="1" applyProtection="1">
      <alignment horizontal="left"/>
      <protection/>
    </xf>
    <xf numFmtId="180" fontId="6" fillId="0" borderId="0" xfId="0" applyNumberFormat="1" applyFont="1" applyBorder="1" applyAlignment="1" applyProtection="1">
      <alignment/>
      <protection locked="0"/>
    </xf>
    <xf numFmtId="180" fontId="5" fillId="0" borderId="10" xfId="0" applyFont="1" applyBorder="1" applyAlignment="1">
      <alignment/>
    </xf>
    <xf numFmtId="180" fontId="5" fillId="0" borderId="10" xfId="0" applyFont="1" applyBorder="1" applyAlignment="1" applyProtection="1">
      <alignment horizontal="left"/>
      <protection/>
    </xf>
    <xf numFmtId="180" fontId="5" fillId="0" borderId="11" xfId="0" applyFont="1" applyBorder="1" applyAlignment="1" applyProtection="1">
      <alignment horizontal="left"/>
      <protection/>
    </xf>
    <xf numFmtId="180" fontId="7" fillId="0" borderId="11" xfId="0" applyFont="1" applyBorder="1" applyAlignment="1" applyProtection="1">
      <alignment horizontal="center"/>
      <protection/>
    </xf>
    <xf numFmtId="180" fontId="6" fillId="0" borderId="11" xfId="0" applyFont="1" applyBorder="1" applyAlignment="1" applyProtection="1">
      <alignment/>
      <protection locked="0"/>
    </xf>
    <xf numFmtId="180" fontId="5" fillId="0" borderId="11" xfId="0" applyFont="1" applyBorder="1" applyAlignment="1" applyProtection="1">
      <alignment horizontal="right"/>
      <protection/>
    </xf>
    <xf numFmtId="180" fontId="5" fillId="0" borderId="11" xfId="0" applyFont="1" applyBorder="1" applyAlignment="1" applyProtection="1">
      <alignment horizontal="center"/>
      <protection/>
    </xf>
    <xf numFmtId="188" fontId="7" fillId="0" borderId="11" xfId="0" applyNumberFormat="1" applyFont="1" applyBorder="1" applyAlignment="1" applyProtection="1">
      <alignment horizontal="center"/>
      <protection/>
    </xf>
    <xf numFmtId="180" fontId="7" fillId="0" borderId="11" xfId="0" applyFont="1" applyBorder="1" applyAlignment="1" applyProtection="1">
      <alignment horizontal="center"/>
      <protection locked="0"/>
    </xf>
    <xf numFmtId="180" fontId="5" fillId="0" borderId="0" xfId="0" applyFont="1" applyBorder="1" applyAlignment="1" applyProtection="1">
      <alignment horizontal="right"/>
      <protection/>
    </xf>
    <xf numFmtId="180" fontId="7" fillId="0" borderId="0" xfId="0" applyFont="1" applyBorder="1" applyAlignment="1" applyProtection="1">
      <alignment horizontal="center"/>
      <protection/>
    </xf>
    <xf numFmtId="180" fontId="5" fillId="0" borderId="0" xfId="0" applyFont="1" applyAlignment="1">
      <alignment horizontal="center"/>
    </xf>
    <xf numFmtId="180" fontId="11" fillId="0" borderId="0" xfId="0" applyFont="1" applyAlignment="1" applyProtection="1">
      <alignment horizontal="center" vertical="center" wrapText="1"/>
      <protection/>
    </xf>
    <xf numFmtId="180" fontId="12" fillId="0" borderId="0" xfId="0" applyFont="1" applyAlignment="1">
      <alignment horizontal="center" vertical="center" wrapText="1"/>
    </xf>
    <xf numFmtId="180" fontId="12" fillId="0" borderId="0" xfId="0" applyFont="1" applyAlignment="1">
      <alignment wrapText="1"/>
    </xf>
    <xf numFmtId="180" fontId="8" fillId="0" borderId="0" xfId="0" applyNumberFormat="1" applyFont="1" applyAlignment="1" applyProtection="1">
      <alignment/>
      <protection/>
    </xf>
    <xf numFmtId="189" fontId="6" fillId="0" borderId="0" xfId="0" applyNumberFormat="1" applyFont="1" applyAlignment="1" applyProtection="1">
      <alignment horizontal="left"/>
      <protection locked="0"/>
    </xf>
    <xf numFmtId="180" fontId="13" fillId="0" borderId="0" xfId="0" applyFont="1" applyAlignment="1" applyProtection="1">
      <alignment horizontal="center"/>
      <protection/>
    </xf>
    <xf numFmtId="180" fontId="8" fillId="0" borderId="0" xfId="0" applyFont="1" applyBorder="1" applyAlignment="1" applyProtection="1">
      <alignment horizontal="left"/>
      <protection/>
    </xf>
    <xf numFmtId="180" fontId="5" fillId="0" borderId="0" xfId="0" applyFont="1" applyBorder="1" applyAlignment="1" applyProtection="1">
      <alignment/>
      <protection/>
    </xf>
    <xf numFmtId="180" fontId="5" fillId="0" borderId="0" xfId="0" applyFont="1" applyBorder="1" applyAlignment="1">
      <alignment horizontal="center"/>
    </xf>
    <xf numFmtId="180" fontId="5" fillId="0" borderId="0" xfId="0" applyFont="1" applyBorder="1" applyAlignment="1" applyProtection="1">
      <alignment horizontal="center"/>
      <protection/>
    </xf>
    <xf numFmtId="181" fontId="5" fillId="0" borderId="0" xfId="0" applyNumberFormat="1" applyFont="1" applyBorder="1" applyAlignment="1" applyProtection="1">
      <alignment horizontal="center"/>
      <protection/>
    </xf>
    <xf numFmtId="180" fontId="5" fillId="0" borderId="10" xfId="0" applyFont="1" applyBorder="1" applyAlignment="1" applyProtection="1">
      <alignment/>
      <protection/>
    </xf>
    <xf numFmtId="188" fontId="6" fillId="0" borderId="11" xfId="0" applyNumberFormat="1" applyFont="1" applyBorder="1" applyAlignment="1" applyProtection="1">
      <alignment horizontal="center"/>
      <protection locked="0"/>
    </xf>
    <xf numFmtId="180" fontId="6" fillId="0" borderId="11" xfId="0" applyFont="1" applyBorder="1" applyAlignment="1" applyProtection="1">
      <alignment horizontal="center"/>
      <protection locked="0"/>
    </xf>
    <xf numFmtId="180" fontId="15" fillId="0" borderId="0" xfId="0" applyFont="1" applyBorder="1" applyAlignment="1" applyProtection="1">
      <alignment horizontal="left"/>
      <protection/>
    </xf>
    <xf numFmtId="180" fontId="8" fillId="0" borderId="11" xfId="0" applyFont="1" applyBorder="1" applyAlignment="1" applyProtection="1">
      <alignment/>
      <protection/>
    </xf>
    <xf numFmtId="180" fontId="6" fillId="0" borderId="11" xfId="0" applyNumberFormat="1" applyFont="1" applyBorder="1" applyAlignment="1" applyProtection="1">
      <alignment horizontal="center"/>
      <protection locked="0"/>
    </xf>
    <xf numFmtId="180" fontId="8" fillId="0" borderId="11" xfId="0" applyFont="1" applyBorder="1" applyAlignment="1" applyProtection="1">
      <alignment horizontal="center"/>
      <protection/>
    </xf>
    <xf numFmtId="180" fontId="0" fillId="0" borderId="0" xfId="0" applyAlignment="1">
      <alignment horizontal="left" wrapText="1" indent="1"/>
    </xf>
    <xf numFmtId="180" fontId="0" fillId="0" borderId="0" xfId="0" applyAlignment="1">
      <alignment/>
    </xf>
    <xf numFmtId="180" fontId="0" fillId="0" borderId="0" xfId="0" applyAlignment="1">
      <alignment wrapText="1"/>
    </xf>
    <xf numFmtId="180" fontId="17" fillId="0" borderId="0" xfId="0" applyFont="1" applyBorder="1" applyAlignment="1" applyProtection="1">
      <alignment horizontal="center" vertical="center" wrapText="1"/>
      <protection/>
    </xf>
    <xf numFmtId="180" fontId="18" fillId="0" borderId="0" xfId="0" applyFont="1" applyBorder="1" applyAlignment="1">
      <alignment horizontal="center" vertical="center" wrapText="1"/>
    </xf>
    <xf numFmtId="180" fontId="18" fillId="0" borderId="0" xfId="0" applyFont="1" applyBorder="1" applyAlignment="1">
      <alignment wrapText="1"/>
    </xf>
    <xf numFmtId="180" fontId="13" fillId="0" borderId="12" xfId="0" applyFont="1" applyBorder="1" applyAlignment="1" applyProtection="1">
      <alignment horizontal="center"/>
      <protection/>
    </xf>
    <xf numFmtId="180" fontId="14" fillId="0" borderId="12" xfId="0" applyFont="1" applyBorder="1" applyAlignment="1">
      <alignment horizontal="center"/>
    </xf>
    <xf numFmtId="180" fontId="14" fillId="0" borderId="13" xfId="0" applyFont="1" applyBorder="1" applyAlignment="1">
      <alignment horizontal="center"/>
    </xf>
    <xf numFmtId="180" fontId="9" fillId="33" borderId="14" xfId="0" applyFont="1" applyFill="1" applyBorder="1" applyAlignment="1" applyProtection="1">
      <alignment horizontal="center"/>
      <protection/>
    </xf>
    <xf numFmtId="180" fontId="10" fillId="33" borderId="15" xfId="0" applyFont="1" applyFill="1" applyBorder="1" applyAlignment="1">
      <alignment horizontal="center"/>
    </xf>
    <xf numFmtId="180" fontId="0" fillId="0" borderId="16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180975</xdr:colOff>
      <xdr:row>28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24175" cy="467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showGridLines="0" zoomScalePageLayoutView="0" workbookViewId="0" topLeftCell="A1">
      <selection activeCell="M16" sqref="M16"/>
    </sheetView>
  </sheetViews>
  <sheetFormatPr defaultColWidth="9.00390625" defaultRowHeight="12.75"/>
  <sheetData>
    <row r="1" spans="1:13" ht="36" customHeight="1">
      <c r="A1" s="43" t="s">
        <v>63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3" spans="1:13" ht="24" customHeight="1">
      <c r="A3" s="43" t="s">
        <v>56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5" spans="1:13" ht="12" customHeight="1">
      <c r="A5" s="41" t="s">
        <v>57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12" customHeight="1">
      <c r="A6" s="41" t="s">
        <v>58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3" ht="12" customHeight="1">
      <c r="A7" s="41" t="s">
        <v>59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3" ht="36" customHeight="1">
      <c r="A8" s="41" t="s">
        <v>60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10" spans="1:13" ht="24" customHeight="1">
      <c r="A10" s="43" t="s">
        <v>61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2" spans="1:13" ht="24" customHeight="1">
      <c r="A12" s="43" t="s">
        <v>62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</row>
  </sheetData>
  <sheetProtection/>
  <mergeCells count="8">
    <mergeCell ref="A7:M7"/>
    <mergeCell ref="A8:M8"/>
    <mergeCell ref="A10:M10"/>
    <mergeCell ref="A12:M12"/>
    <mergeCell ref="A1:M1"/>
    <mergeCell ref="A3:M3"/>
    <mergeCell ref="A5:M5"/>
    <mergeCell ref="A6:M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showGridLines="0" tabSelected="1" zoomScale="110" zoomScaleNormal="110" zoomScalePageLayoutView="0" workbookViewId="0" topLeftCell="A1">
      <selection activeCell="C14" sqref="C14"/>
    </sheetView>
  </sheetViews>
  <sheetFormatPr defaultColWidth="9.625" defaultRowHeight="12.75"/>
  <cols>
    <col min="1" max="1" width="17.00390625" style="2" customWidth="1"/>
    <col min="2" max="2" width="26.25390625" style="2" customWidth="1"/>
    <col min="3" max="3" width="10.875" style="2" customWidth="1"/>
    <col min="4" max="4" width="11.00390625" style="2" customWidth="1"/>
    <col min="5" max="5" width="10.375" style="2" customWidth="1"/>
    <col min="6" max="6" width="9.625" style="2" customWidth="1"/>
    <col min="7" max="7" width="17.75390625" style="2" customWidth="1"/>
    <col min="8" max="16384" width="9.625" style="2" customWidth="1"/>
  </cols>
  <sheetData>
    <row r="1" spans="1:7" ht="60" customHeight="1">
      <c r="A1" s="44" t="s">
        <v>66</v>
      </c>
      <c r="B1" s="45"/>
      <c r="C1" s="45"/>
      <c r="D1" s="45"/>
      <c r="E1" s="45"/>
      <c r="F1" s="46"/>
      <c r="G1" s="46"/>
    </row>
    <row r="2" spans="1:7" ht="21">
      <c r="A2" s="23"/>
      <c r="B2" s="24"/>
      <c r="C2" s="24"/>
      <c r="D2" s="24"/>
      <c r="E2" s="24"/>
      <c r="F2" s="25"/>
      <c r="G2" s="25"/>
    </row>
    <row r="3" spans="1:5" ht="15">
      <c r="A3" s="3" t="s">
        <v>38</v>
      </c>
      <c r="B3" s="4" t="s">
        <v>70</v>
      </c>
      <c r="D3" s="5"/>
      <c r="E3" s="5"/>
    </row>
    <row r="4" spans="1:2" ht="15">
      <c r="A4" s="3" t="s">
        <v>1</v>
      </c>
      <c r="B4" s="27"/>
    </row>
    <row r="5" spans="1:3" ht="15">
      <c r="A5" s="3" t="s">
        <v>35</v>
      </c>
      <c r="B5" s="4" t="s">
        <v>65</v>
      </c>
      <c r="C5" s="5"/>
    </row>
    <row r="6" spans="1:2" ht="15">
      <c r="A6" s="3"/>
      <c r="B6" s="4"/>
    </row>
    <row r="7" spans="2:6" ht="16.5">
      <c r="B7" s="47" t="s">
        <v>53</v>
      </c>
      <c r="C7" s="48"/>
      <c r="D7" s="48"/>
      <c r="E7" s="49"/>
      <c r="F7" s="17" t="s">
        <v>48</v>
      </c>
    </row>
    <row r="8" spans="2:6" ht="15">
      <c r="B8" s="16" t="s">
        <v>2</v>
      </c>
      <c r="C8" s="14" t="s">
        <v>36</v>
      </c>
      <c r="D8" s="14" t="s">
        <v>37</v>
      </c>
      <c r="E8" s="14" t="s">
        <v>39</v>
      </c>
      <c r="F8" s="14" t="s">
        <v>49</v>
      </c>
    </row>
    <row r="9" spans="2:6" ht="15">
      <c r="B9" s="16" t="s">
        <v>46</v>
      </c>
      <c r="C9" s="35">
        <v>250</v>
      </c>
      <c r="D9" s="35">
        <v>50</v>
      </c>
      <c r="E9" s="35">
        <v>5</v>
      </c>
      <c r="F9" s="14" t="s">
        <v>68</v>
      </c>
    </row>
    <row r="10" spans="2:6" ht="15">
      <c r="B10" s="16" t="s">
        <v>47</v>
      </c>
      <c r="C10" s="36">
        <v>60</v>
      </c>
      <c r="D10" s="36">
        <v>45</v>
      </c>
      <c r="E10" s="36">
        <v>30</v>
      </c>
      <c r="F10" s="14" t="s">
        <v>67</v>
      </c>
    </row>
    <row r="11" spans="1:5" ht="15">
      <c r="A11" s="20"/>
      <c r="B11" s="8"/>
      <c r="C11" s="8"/>
      <c r="D11" s="8"/>
      <c r="E11" s="21"/>
    </row>
    <row r="12" spans="1:5" ht="15">
      <c r="A12" s="9"/>
      <c r="B12" s="8"/>
      <c r="C12" s="8"/>
      <c r="D12" s="8"/>
      <c r="E12" s="9"/>
    </row>
    <row r="13" spans="2:6" ht="16.5">
      <c r="B13" s="47" t="s">
        <v>54</v>
      </c>
      <c r="C13" s="49"/>
      <c r="D13" s="17" t="s">
        <v>48</v>
      </c>
      <c r="E13" s="8"/>
      <c r="F13" s="9"/>
    </row>
    <row r="14" spans="2:6" ht="15">
      <c r="B14" s="16" t="s">
        <v>6</v>
      </c>
      <c r="C14" s="36">
        <v>1</v>
      </c>
      <c r="D14" s="18">
        <v>1</v>
      </c>
      <c r="E14" s="10"/>
      <c r="F14" s="9"/>
    </row>
    <row r="15" spans="2:6" ht="15">
      <c r="B15" s="16" t="s">
        <v>41</v>
      </c>
      <c r="C15" s="36">
        <v>-60</v>
      </c>
      <c r="D15" s="19" t="s">
        <v>40</v>
      </c>
      <c r="E15" s="8"/>
      <c r="F15" s="9"/>
    </row>
    <row r="16" spans="2:6" ht="15">
      <c r="B16" s="16" t="s">
        <v>42</v>
      </c>
      <c r="C16" s="36">
        <v>60</v>
      </c>
      <c r="D16" s="19" t="s">
        <v>40</v>
      </c>
      <c r="E16" s="8"/>
      <c r="F16" s="9" t="s">
        <v>0</v>
      </c>
    </row>
    <row r="17" spans="2:6" ht="15">
      <c r="B17" s="16" t="s">
        <v>43</v>
      </c>
      <c r="C17" s="36">
        <v>60</v>
      </c>
      <c r="D17" s="19" t="s">
        <v>69</v>
      </c>
      <c r="E17" s="8"/>
      <c r="F17" s="9"/>
    </row>
    <row r="18" spans="2:5" ht="15">
      <c r="B18" s="3" t="s">
        <v>7</v>
      </c>
      <c r="C18" s="6">
        <f>'Noise US'!C18</f>
        <v>53.244674334761704</v>
      </c>
      <c r="D18" s="1" t="s">
        <v>14</v>
      </c>
      <c r="E18" s="1"/>
    </row>
    <row r="21" ht="15">
      <c r="E21" s="1"/>
    </row>
    <row r="22" spans="2:5" ht="16.5">
      <c r="B22" s="28" t="s">
        <v>55</v>
      </c>
      <c r="C22" s="14" t="s">
        <v>36</v>
      </c>
      <c r="D22" s="14" t="s">
        <v>37</v>
      </c>
      <c r="E22" s="14" t="s">
        <v>39</v>
      </c>
    </row>
    <row r="23" spans="2:5" ht="15">
      <c r="B23" s="13" t="s">
        <v>9</v>
      </c>
      <c r="C23" s="40">
        <f>'Noise US'!C23</f>
        <v>73.21734791978984</v>
      </c>
      <c r="D23" s="40">
        <f>'Noise US'!D23</f>
        <v>79.44615411194124</v>
      </c>
      <c r="E23" s="40">
        <f>'Noise US'!E23</f>
        <v>79.91846155093982</v>
      </c>
    </row>
    <row r="24" spans="2:5" ht="15">
      <c r="B24" s="13" t="s">
        <v>10</v>
      </c>
      <c r="C24" s="40">
        <f>'Noise US'!C24</f>
        <v>-9.11241237375587</v>
      </c>
      <c r="D24" s="40">
        <f>'Noise US'!D24</f>
        <v>-14.852725051033058</v>
      </c>
      <c r="E24" s="40">
        <f>'Noise US'!E24</f>
        <v>-23.091812460476245</v>
      </c>
    </row>
    <row r="25" spans="2:5" ht="15">
      <c r="B25" s="13" t="s">
        <v>11</v>
      </c>
      <c r="C25" s="40">
        <f>'Noise US'!C25</f>
        <v>-11.903325667601239</v>
      </c>
      <c r="D25" s="40">
        <f>'Noise US'!D25</f>
        <v>-11.903325667601239</v>
      </c>
      <c r="E25" s="40">
        <f>'Noise US'!E25</f>
        <v>-11.903325667601239</v>
      </c>
    </row>
    <row r="26" spans="2:5" ht="15">
      <c r="B26" s="13" t="s">
        <v>12</v>
      </c>
      <c r="C26" s="40">
        <f>'Noise US'!C26</f>
        <v>-2.5858895480269397</v>
      </c>
      <c r="D26" s="40">
        <f>'Noise US'!D26</f>
        <v>-2.5858895480269397</v>
      </c>
      <c r="E26" s="40">
        <f>'Noise US'!E26</f>
        <v>-2.5858895480269397</v>
      </c>
    </row>
    <row r="27" spans="2:5" ht="15">
      <c r="B27" s="3"/>
      <c r="C27" s="40">
        <f>'Noise US'!C27</f>
        <v>49.61572033040579</v>
      </c>
      <c r="D27" s="40">
        <f>'Noise US'!D27</f>
        <v>50.10421384528</v>
      </c>
      <c r="E27" s="40">
        <f>'Noise US'!E27</f>
        <v>42.3374338748354</v>
      </c>
    </row>
    <row r="28" spans="2:4" ht="15">
      <c r="B28" s="3" t="s">
        <v>13</v>
      </c>
      <c r="C28" s="40">
        <f>'Noise US'!C28</f>
        <v>53.244674334761704</v>
      </c>
      <c r="D28" s="1" t="s">
        <v>14</v>
      </c>
    </row>
  </sheetData>
  <sheetProtection/>
  <mergeCells count="3">
    <mergeCell ref="A1:G1"/>
    <mergeCell ref="B7:E7"/>
    <mergeCell ref="B13:C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showGridLines="0" zoomScalePageLayoutView="0" workbookViewId="0" topLeftCell="A1">
      <selection activeCell="B15" sqref="B15"/>
    </sheetView>
  </sheetViews>
  <sheetFormatPr defaultColWidth="9.00390625" defaultRowHeight="12.75"/>
  <cols>
    <col min="1" max="1" width="25.50390625" style="0" bestFit="1" customWidth="1"/>
    <col min="2" max="2" width="9.75390625" style="0" bestFit="1" customWidth="1"/>
    <col min="3" max="3" width="10.00390625" style="0" bestFit="1" customWidth="1"/>
    <col min="4" max="4" width="12.25390625" style="0" customWidth="1"/>
    <col min="5" max="5" width="9.50390625" style="0" bestFit="1" customWidth="1"/>
    <col min="6" max="6" width="2.875" style="0" bestFit="1" customWidth="1"/>
  </cols>
  <sheetData>
    <row r="1" spans="1:6" s="2" customFormat="1" ht="19.5">
      <c r="A1" s="50" t="s">
        <v>52</v>
      </c>
      <c r="B1" s="51"/>
      <c r="C1" s="51"/>
      <c r="D1" s="51"/>
      <c r="E1" s="51"/>
      <c r="F1" s="52"/>
    </row>
    <row r="2" spans="1:6" s="2" customFormat="1" ht="15">
      <c r="A2" s="9"/>
      <c r="B2" s="7"/>
      <c r="C2" s="7"/>
      <c r="D2" s="7"/>
      <c r="E2" s="7"/>
      <c r="F2" s="7"/>
    </row>
    <row r="3" spans="1:6" s="2" customFormat="1" ht="15">
      <c r="A3" s="29" t="s">
        <v>15</v>
      </c>
      <c r="B3" s="30">
        <v>0</v>
      </c>
      <c r="C3" s="9" t="s">
        <v>16</v>
      </c>
      <c r="D3" s="7"/>
      <c r="E3" s="7"/>
      <c r="F3" s="8"/>
    </row>
    <row r="4" spans="1:6" s="2" customFormat="1" ht="15">
      <c r="A4" s="7"/>
      <c r="B4" s="20" t="s">
        <v>17</v>
      </c>
      <c r="C4" s="30">
        <v>50</v>
      </c>
      <c r="D4" s="30">
        <v>50</v>
      </c>
      <c r="E4" s="30">
        <v>50</v>
      </c>
      <c r="F4" s="9" t="s">
        <v>18</v>
      </c>
    </row>
    <row r="5" spans="1:6" s="2" customFormat="1" ht="15">
      <c r="A5" s="7"/>
      <c r="B5" s="20" t="s">
        <v>19</v>
      </c>
      <c r="C5" s="30">
        <f>'Noise US'!$C$17-B3</f>
        <v>196.85039370078738</v>
      </c>
      <c r="D5" s="30">
        <f>'Noise US'!$C$17-B3</f>
        <v>196.85039370078738</v>
      </c>
      <c r="E5" s="30">
        <f>'Noise US'!$C$17-B3</f>
        <v>196.85039370078738</v>
      </c>
      <c r="F5" s="9" t="s">
        <v>18</v>
      </c>
    </row>
    <row r="6" spans="1:6" s="2" customFormat="1" ht="15">
      <c r="A6" s="7"/>
      <c r="B6" s="7"/>
      <c r="C6" s="7"/>
      <c r="D6" s="7"/>
      <c r="E6" s="7"/>
      <c r="F6" s="7"/>
    </row>
    <row r="7" spans="1:6" s="2" customFormat="1" ht="15">
      <c r="A7" s="37" t="s">
        <v>20</v>
      </c>
      <c r="B7" s="7"/>
      <c r="C7" s="7"/>
      <c r="D7" s="7"/>
      <c r="E7" s="7"/>
      <c r="F7" s="7"/>
    </row>
    <row r="8" spans="1:6" s="22" customFormat="1" ht="15">
      <c r="A8" s="31"/>
      <c r="B8" s="32" t="s">
        <v>3</v>
      </c>
      <c r="C8" s="31" t="s">
        <v>4</v>
      </c>
      <c r="D8" s="31" t="s">
        <v>5</v>
      </c>
      <c r="E8" s="31" t="s">
        <v>51</v>
      </c>
      <c r="F8" s="31"/>
    </row>
    <row r="9" spans="1:6" s="22" customFormat="1" ht="15">
      <c r="A9" s="31"/>
      <c r="B9" s="33">
        <f>EXP(+'Noise US'!$C$27/10*LN(10))</f>
        <v>91531.80633643178</v>
      </c>
      <c r="C9" s="33">
        <f>EXP(+'Noise US'!$D$27/10*LN(10))</f>
        <v>102428.63484276655</v>
      </c>
      <c r="D9" s="33">
        <f>EXP(+'Noise US'!$E$27/10*LN(10))</f>
        <v>17129.448769983836</v>
      </c>
      <c r="E9" s="33">
        <f>SUM(B9:D9)</f>
        <v>211089.88994918216</v>
      </c>
      <c r="F9" s="31"/>
    </row>
    <row r="10" spans="1:6" s="2" customFormat="1" ht="15">
      <c r="A10" s="7"/>
      <c r="B10" s="7"/>
      <c r="C10" s="7"/>
      <c r="D10" s="7"/>
      <c r="E10" s="7"/>
      <c r="F10" s="7"/>
    </row>
    <row r="11" spans="1:6" s="2" customFormat="1" ht="15">
      <c r="A11" s="9" t="s">
        <v>12</v>
      </c>
      <c r="B11" s="9"/>
      <c r="C11" s="9"/>
      <c r="D11" s="7"/>
      <c r="E11" s="7"/>
      <c r="F11" s="7"/>
    </row>
    <row r="12" spans="1:6" s="2" customFormat="1" ht="15">
      <c r="A12" s="37" t="s">
        <v>50</v>
      </c>
      <c r="B12" s="9"/>
      <c r="C12" s="9"/>
      <c r="D12" s="7"/>
      <c r="E12" s="7"/>
      <c r="F12" s="7"/>
    </row>
    <row r="13" spans="1:6" s="2" customFormat="1" ht="15">
      <c r="A13" s="7"/>
      <c r="B13" s="32" t="s">
        <v>21</v>
      </c>
      <c r="C13" s="32" t="s">
        <v>22</v>
      </c>
      <c r="D13" s="32" t="s">
        <v>23</v>
      </c>
      <c r="E13" s="7"/>
      <c r="F13" s="7"/>
    </row>
    <row r="14" spans="1:6" s="2" customFormat="1" ht="15">
      <c r="A14" s="7"/>
      <c r="B14" s="30">
        <f>B15/180*PI()</f>
        <v>-1.0471975511965976</v>
      </c>
      <c r="C14" s="30">
        <f>C15/180*PI()</f>
        <v>1.0471975511965976</v>
      </c>
      <c r="D14" s="30">
        <f>(C14-B14)</f>
        <v>2.0943951023931953</v>
      </c>
      <c r="E14" s="9" t="s">
        <v>24</v>
      </c>
      <c r="F14" s="7"/>
    </row>
    <row r="15" spans="1:6" s="2" customFormat="1" ht="15">
      <c r="A15" s="7"/>
      <c r="B15" s="30">
        <f>'Noise US'!C15</f>
        <v>-60</v>
      </c>
      <c r="C15" s="30">
        <f>'Noise US'!C16</f>
        <v>60</v>
      </c>
      <c r="D15" s="30">
        <f>D14*180/PI()</f>
        <v>119.99999999999999</v>
      </c>
      <c r="E15" s="9" t="s">
        <v>25</v>
      </c>
      <c r="F15" s="7"/>
    </row>
    <row r="16" spans="1:6" s="2" customFormat="1" ht="15">
      <c r="A16" s="7"/>
      <c r="B16" s="7"/>
      <c r="C16" s="7"/>
      <c r="D16" s="7"/>
      <c r="E16" s="7"/>
      <c r="F16" s="7"/>
    </row>
    <row r="17" spans="1:6" s="2" customFormat="1" ht="15">
      <c r="A17" s="37" t="s">
        <v>26</v>
      </c>
      <c r="B17" s="7"/>
      <c r="C17" s="7"/>
      <c r="D17" s="7"/>
      <c r="E17" s="7"/>
      <c r="F17" s="7"/>
    </row>
    <row r="18" spans="1:6" s="2" customFormat="1" ht="15">
      <c r="A18" s="20" t="s">
        <v>27</v>
      </c>
      <c r="B18" s="32" t="s">
        <v>28</v>
      </c>
      <c r="C18" s="32" t="s">
        <v>29</v>
      </c>
      <c r="D18" s="32" t="s">
        <v>30</v>
      </c>
      <c r="E18" s="32" t="s">
        <v>31</v>
      </c>
      <c r="F18" s="7"/>
    </row>
    <row r="19" spans="1:6" s="2" customFormat="1" ht="15">
      <c r="A19" s="30">
        <v>0</v>
      </c>
      <c r="B19" s="30">
        <f>$B$14</f>
        <v>-1.0471975511965976</v>
      </c>
      <c r="C19" s="30">
        <f aca="true" t="shared" si="0" ref="C19:C39">(ABS(COS(B19)))^ALPHA</f>
        <v>0.5000000000000001</v>
      </c>
      <c r="D19" s="30">
        <v>1</v>
      </c>
      <c r="E19" s="30">
        <f aca="true" t="shared" si="1" ref="E19:E39">C19*D19</f>
        <v>0.5000000000000001</v>
      </c>
      <c r="F19" s="7"/>
    </row>
    <row r="20" spans="1:6" s="2" customFormat="1" ht="15">
      <c r="A20" s="30">
        <v>1</v>
      </c>
      <c r="B20" s="30">
        <f aca="true" t="shared" si="2" ref="B20:B39">B19+$D$14/20</f>
        <v>-0.9424777960769378</v>
      </c>
      <c r="C20" s="30">
        <f t="shared" si="0"/>
        <v>0.5877852522924732</v>
      </c>
      <c r="D20" s="30">
        <v>4</v>
      </c>
      <c r="E20" s="30">
        <f t="shared" si="1"/>
        <v>2.351141009169893</v>
      </c>
      <c r="F20" s="7"/>
    </row>
    <row r="21" spans="1:6" s="2" customFormat="1" ht="15">
      <c r="A21" s="30">
        <v>2</v>
      </c>
      <c r="B21" s="30">
        <f t="shared" si="2"/>
        <v>-0.837758040957278</v>
      </c>
      <c r="C21" s="30">
        <f t="shared" si="0"/>
        <v>0.6691306063588583</v>
      </c>
      <c r="D21" s="30">
        <v>2</v>
      </c>
      <c r="E21" s="30">
        <f t="shared" si="1"/>
        <v>1.3382612127177167</v>
      </c>
      <c r="F21" s="7"/>
    </row>
    <row r="22" spans="1:6" s="2" customFormat="1" ht="15">
      <c r="A22" s="30">
        <v>3</v>
      </c>
      <c r="B22" s="30">
        <f t="shared" si="2"/>
        <v>-0.7330382858376182</v>
      </c>
      <c r="C22" s="30">
        <f t="shared" si="0"/>
        <v>0.7431448254773944</v>
      </c>
      <c r="D22" s="30">
        <v>4</v>
      </c>
      <c r="E22" s="30">
        <f t="shared" si="1"/>
        <v>2.9725793019095774</v>
      </c>
      <c r="F22" s="7"/>
    </row>
    <row r="23" spans="1:6" s="2" customFormat="1" ht="15">
      <c r="A23" s="30">
        <v>4</v>
      </c>
      <c r="B23" s="30">
        <f t="shared" si="2"/>
        <v>-0.6283185307179584</v>
      </c>
      <c r="C23" s="30">
        <f t="shared" si="0"/>
        <v>0.8090169943749476</v>
      </c>
      <c r="D23" s="30">
        <v>2</v>
      </c>
      <c r="E23" s="30">
        <f t="shared" si="1"/>
        <v>1.6180339887498951</v>
      </c>
      <c r="F23" s="7"/>
    </row>
    <row r="24" spans="1:6" s="2" customFormat="1" ht="15">
      <c r="A24" s="30">
        <v>5</v>
      </c>
      <c r="B24" s="30">
        <f t="shared" si="2"/>
        <v>-0.5235987755982986</v>
      </c>
      <c r="C24" s="30">
        <f t="shared" si="0"/>
        <v>0.8660254037844388</v>
      </c>
      <c r="D24" s="30">
        <v>4</v>
      </c>
      <c r="E24" s="30">
        <f t="shared" si="1"/>
        <v>3.4641016151377553</v>
      </c>
      <c r="F24" s="7"/>
    </row>
    <row r="25" spans="1:6" s="2" customFormat="1" ht="15">
      <c r="A25" s="30">
        <v>6</v>
      </c>
      <c r="B25" s="30">
        <f t="shared" si="2"/>
        <v>-0.41887902047863884</v>
      </c>
      <c r="C25" s="30">
        <f t="shared" si="0"/>
        <v>0.913545457642601</v>
      </c>
      <c r="D25" s="30">
        <v>2</v>
      </c>
      <c r="E25" s="30">
        <f t="shared" si="1"/>
        <v>1.827090915285202</v>
      </c>
      <c r="F25" s="7"/>
    </row>
    <row r="26" spans="1:6" s="2" customFormat="1" ht="15">
      <c r="A26" s="30">
        <v>7</v>
      </c>
      <c r="B26" s="30">
        <f t="shared" si="2"/>
        <v>-0.3141592653589791</v>
      </c>
      <c r="C26" s="30">
        <f t="shared" si="0"/>
        <v>0.9510565162951536</v>
      </c>
      <c r="D26" s="30">
        <v>4</v>
      </c>
      <c r="E26" s="30">
        <f t="shared" si="1"/>
        <v>3.8042260651806146</v>
      </c>
      <c r="F26" s="7"/>
    </row>
    <row r="27" spans="1:6" s="2" customFormat="1" ht="15">
      <c r="A27" s="30">
        <v>8</v>
      </c>
      <c r="B27" s="30">
        <f t="shared" si="2"/>
        <v>-0.20943951023931934</v>
      </c>
      <c r="C27" s="30">
        <f t="shared" si="0"/>
        <v>0.9781476007338057</v>
      </c>
      <c r="D27" s="30">
        <v>2</v>
      </c>
      <c r="E27" s="30">
        <f t="shared" si="1"/>
        <v>1.9562952014676114</v>
      </c>
      <c r="F27" s="7"/>
    </row>
    <row r="28" spans="1:6" s="2" customFormat="1" ht="15">
      <c r="A28" s="30">
        <v>9</v>
      </c>
      <c r="B28" s="30">
        <f t="shared" si="2"/>
        <v>-0.10471975511965957</v>
      </c>
      <c r="C28" s="30">
        <f t="shared" si="0"/>
        <v>0.9945218953682734</v>
      </c>
      <c r="D28" s="30">
        <v>4</v>
      </c>
      <c r="E28" s="30">
        <f t="shared" si="1"/>
        <v>3.9780875814730936</v>
      </c>
      <c r="F28" s="7"/>
    </row>
    <row r="29" spans="1:6" s="2" customFormat="1" ht="15">
      <c r="A29" s="30">
        <v>10</v>
      </c>
      <c r="B29" s="30">
        <f t="shared" si="2"/>
        <v>1.942890293094024E-16</v>
      </c>
      <c r="C29" s="30">
        <f t="shared" si="0"/>
        <v>1</v>
      </c>
      <c r="D29" s="30">
        <v>2</v>
      </c>
      <c r="E29" s="30">
        <f t="shared" si="1"/>
        <v>2</v>
      </c>
      <c r="F29" s="7"/>
    </row>
    <row r="30" spans="1:6" s="2" customFormat="1" ht="15">
      <c r="A30" s="30">
        <v>11</v>
      </c>
      <c r="B30" s="30">
        <f t="shared" si="2"/>
        <v>0.10471975511965996</v>
      </c>
      <c r="C30" s="30">
        <f t="shared" si="0"/>
        <v>0.9945218953682733</v>
      </c>
      <c r="D30" s="30">
        <v>4</v>
      </c>
      <c r="E30" s="30">
        <f t="shared" si="1"/>
        <v>3.978087581473093</v>
      </c>
      <c r="F30" s="7"/>
    </row>
    <row r="31" spans="1:6" s="2" customFormat="1" ht="15">
      <c r="A31" s="30">
        <v>12</v>
      </c>
      <c r="B31" s="30">
        <f t="shared" si="2"/>
        <v>0.20943951023931973</v>
      </c>
      <c r="C31" s="30">
        <f t="shared" si="0"/>
        <v>0.9781476007338056</v>
      </c>
      <c r="D31" s="30">
        <v>2</v>
      </c>
      <c r="E31" s="30">
        <f t="shared" si="1"/>
        <v>1.9562952014676112</v>
      </c>
      <c r="F31" s="7"/>
    </row>
    <row r="32" spans="1:6" s="2" customFormat="1" ht="15">
      <c r="A32" s="30">
        <v>13</v>
      </c>
      <c r="B32" s="30">
        <f t="shared" si="2"/>
        <v>0.3141592653589795</v>
      </c>
      <c r="C32" s="30">
        <f t="shared" si="0"/>
        <v>0.9510565162951535</v>
      </c>
      <c r="D32" s="30">
        <v>4</v>
      </c>
      <c r="E32" s="30">
        <f t="shared" si="1"/>
        <v>3.804226065180614</v>
      </c>
      <c r="F32" s="7"/>
    </row>
    <row r="33" spans="1:6" s="2" customFormat="1" ht="15">
      <c r="A33" s="30">
        <v>14</v>
      </c>
      <c r="B33" s="30">
        <f t="shared" si="2"/>
        <v>0.41887902047863923</v>
      </c>
      <c r="C33" s="30">
        <f t="shared" si="0"/>
        <v>0.9135454576426009</v>
      </c>
      <c r="D33" s="30">
        <v>2</v>
      </c>
      <c r="E33" s="30">
        <f t="shared" si="1"/>
        <v>1.8270909152852017</v>
      </c>
      <c r="F33" s="7"/>
    </row>
    <row r="34" spans="1:6" s="2" customFormat="1" ht="15">
      <c r="A34" s="30">
        <v>15</v>
      </c>
      <c r="B34" s="30">
        <f t="shared" si="2"/>
        <v>0.523598775598299</v>
      </c>
      <c r="C34" s="30">
        <f t="shared" si="0"/>
        <v>0.8660254037844386</v>
      </c>
      <c r="D34" s="30">
        <v>4</v>
      </c>
      <c r="E34" s="30">
        <f t="shared" si="1"/>
        <v>3.4641016151377544</v>
      </c>
      <c r="F34" s="7"/>
    </row>
    <row r="35" spans="1:6" s="2" customFormat="1" ht="15">
      <c r="A35" s="30">
        <v>16</v>
      </c>
      <c r="B35" s="30">
        <f t="shared" si="2"/>
        <v>0.6283185307179588</v>
      </c>
      <c r="C35" s="30">
        <f t="shared" si="0"/>
        <v>0.8090169943749473</v>
      </c>
      <c r="D35" s="30">
        <v>2</v>
      </c>
      <c r="E35" s="30">
        <f t="shared" si="1"/>
        <v>1.6180339887498947</v>
      </c>
      <c r="F35" s="7"/>
    </row>
    <row r="36" spans="1:6" s="2" customFormat="1" ht="15">
      <c r="A36" s="30">
        <v>17</v>
      </c>
      <c r="B36" s="30">
        <f t="shared" si="2"/>
        <v>0.7330382858376187</v>
      </c>
      <c r="C36" s="30">
        <f t="shared" si="0"/>
        <v>0.7431448254773941</v>
      </c>
      <c r="D36" s="30">
        <v>4</v>
      </c>
      <c r="E36" s="30">
        <f t="shared" si="1"/>
        <v>2.9725793019095765</v>
      </c>
      <c r="F36" s="7"/>
    </row>
    <row r="37" spans="1:6" s="2" customFormat="1" ht="15">
      <c r="A37" s="30">
        <v>18</v>
      </c>
      <c r="B37" s="30">
        <f t="shared" si="2"/>
        <v>0.8377580409572785</v>
      </c>
      <c r="C37" s="30">
        <f t="shared" si="0"/>
        <v>0.669130606358858</v>
      </c>
      <c r="D37" s="30">
        <v>2</v>
      </c>
      <c r="E37" s="30">
        <f t="shared" si="1"/>
        <v>1.338261212717716</v>
      </c>
      <c r="F37" s="7"/>
    </row>
    <row r="38" spans="1:6" s="2" customFormat="1" ht="15">
      <c r="A38" s="30">
        <v>19</v>
      </c>
      <c r="B38" s="30">
        <f t="shared" si="2"/>
        <v>0.9424777960769383</v>
      </c>
      <c r="C38" s="30">
        <f t="shared" si="0"/>
        <v>0.5877852522924729</v>
      </c>
      <c r="D38" s="30">
        <v>4</v>
      </c>
      <c r="E38" s="30">
        <f t="shared" si="1"/>
        <v>2.3511410091698917</v>
      </c>
      <c r="F38" s="7"/>
    </row>
    <row r="39" spans="1:6" s="2" customFormat="1" ht="15">
      <c r="A39" s="30">
        <v>20</v>
      </c>
      <c r="B39" s="30">
        <f t="shared" si="2"/>
        <v>1.047197551196598</v>
      </c>
      <c r="C39" s="30">
        <f t="shared" si="0"/>
        <v>0.4999999999999997</v>
      </c>
      <c r="D39" s="30">
        <v>1</v>
      </c>
      <c r="E39" s="30">
        <f t="shared" si="1"/>
        <v>0.4999999999999997</v>
      </c>
      <c r="F39" s="7"/>
    </row>
    <row r="40" spans="1:6" s="2" customFormat="1" ht="15">
      <c r="A40" s="7"/>
      <c r="B40" s="7"/>
      <c r="C40" s="7"/>
      <c r="D40" s="7"/>
      <c r="E40" s="30">
        <f>SUM(E19:E39)</f>
        <v>49.619633782182724</v>
      </c>
      <c r="F40" s="7"/>
    </row>
    <row r="41" spans="1:6" s="2" customFormat="1" ht="15">
      <c r="A41" s="7"/>
      <c r="B41" s="7"/>
      <c r="C41" s="7"/>
      <c r="D41" s="9"/>
      <c r="E41" s="30">
        <f>D14/60*E40</f>
        <v>1.7320519662657907</v>
      </c>
      <c r="F41" s="7"/>
    </row>
    <row r="42" spans="1:6" s="2" customFormat="1" ht="15">
      <c r="A42" s="7"/>
      <c r="B42" s="7"/>
      <c r="C42" s="7"/>
      <c r="D42" s="7"/>
      <c r="E42" s="9"/>
      <c r="F42" s="7"/>
    </row>
    <row r="43" spans="1:6" s="2" customFormat="1" ht="15">
      <c r="A43" s="37" t="s">
        <v>32</v>
      </c>
      <c r="B43" s="7"/>
      <c r="C43" s="7"/>
      <c r="D43" s="7"/>
      <c r="E43" s="7"/>
      <c r="F43" s="7"/>
    </row>
    <row r="44" spans="1:6" s="2" customFormat="1" ht="15">
      <c r="A44" s="9" t="s">
        <v>33</v>
      </c>
      <c r="B44" s="30">
        <f>10*LOG(E41)-10*LOG(PI())</f>
        <v>-2.5858895480269397</v>
      </c>
      <c r="C44" s="9" t="s">
        <v>14</v>
      </c>
      <c r="D44" s="7"/>
      <c r="E44" s="7"/>
      <c r="F44" s="7"/>
    </row>
    <row r="45" spans="1:6" s="2" customFormat="1" ht="15.75" thickBot="1">
      <c r="A45" s="12" t="s">
        <v>34</v>
      </c>
      <c r="B45" s="34">
        <f>10*LOG(D15/180)</f>
        <v>-1.7609125905568126</v>
      </c>
      <c r="C45" s="12" t="s">
        <v>14</v>
      </c>
      <c r="D45" s="11"/>
      <c r="E45" s="11"/>
      <c r="F45" s="11"/>
    </row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pans="1:5" s="2" customFormat="1" ht="15">
      <c r="A54"/>
      <c r="B54"/>
      <c r="C54"/>
      <c r="D54"/>
      <c r="E54"/>
    </row>
  </sheetData>
  <sheetProtection/>
  <mergeCells count="1">
    <mergeCell ref="A1:F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170" zoomScaleNormal="170" zoomScalePageLayoutView="0" workbookViewId="0" topLeftCell="A1">
      <selection activeCell="H18" sqref="H18"/>
    </sheetView>
  </sheetViews>
  <sheetFormatPr defaultColWidth="9.00390625" defaultRowHeight="12.75"/>
  <sheetData/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1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28"/>
  <sheetViews>
    <sheetView showGridLines="0" zoomScale="75" zoomScaleNormal="75" zoomScalePageLayoutView="0" workbookViewId="0" topLeftCell="A1">
      <selection activeCell="F19" sqref="F19"/>
    </sheetView>
  </sheetViews>
  <sheetFormatPr defaultColWidth="9.625" defaultRowHeight="12.75"/>
  <cols>
    <col min="1" max="1" width="17.00390625" style="2" bestFit="1" customWidth="1"/>
    <col min="2" max="2" width="26.25390625" style="2" customWidth="1"/>
    <col min="3" max="3" width="10.875" style="2" customWidth="1"/>
    <col min="4" max="4" width="11.00390625" style="2" customWidth="1"/>
    <col min="5" max="5" width="10.375" style="2" customWidth="1"/>
    <col min="6" max="6" width="9.625" style="2" customWidth="1"/>
    <col min="7" max="7" width="17.75390625" style="2" customWidth="1"/>
    <col min="8" max="16384" width="9.625" style="2" customWidth="1"/>
  </cols>
  <sheetData>
    <row r="1" spans="1:7" ht="51" customHeight="1">
      <c r="A1" s="44" t="s">
        <v>66</v>
      </c>
      <c r="B1" s="45"/>
      <c r="C1" s="45"/>
      <c r="D1" s="45"/>
      <c r="E1" s="45"/>
      <c r="F1" s="46"/>
      <c r="G1" s="46"/>
    </row>
    <row r="2" spans="1:7" ht="21">
      <c r="A2" s="23"/>
      <c r="B2" s="24"/>
      <c r="C2" s="24"/>
      <c r="D2" s="24"/>
      <c r="E2" s="24"/>
      <c r="F2" s="25"/>
      <c r="G2" s="25"/>
    </row>
    <row r="3" spans="1:5" ht="15">
      <c r="A3" s="3" t="s">
        <v>38</v>
      </c>
      <c r="B3" s="4" t="s">
        <v>64</v>
      </c>
      <c r="D3" s="5"/>
      <c r="E3" s="5"/>
    </row>
    <row r="4" spans="1:2" ht="15">
      <c r="A4" s="3" t="s">
        <v>1</v>
      </c>
      <c r="B4" s="27"/>
    </row>
    <row r="5" spans="1:3" ht="15">
      <c r="A5" s="3" t="s">
        <v>35</v>
      </c>
      <c r="B5" s="4" t="s">
        <v>65</v>
      </c>
      <c r="C5" s="5"/>
    </row>
    <row r="6" spans="1:2" ht="15">
      <c r="A6" s="3"/>
      <c r="B6" s="4"/>
    </row>
    <row r="7" spans="2:6" ht="16.5">
      <c r="B7" s="47" t="s">
        <v>53</v>
      </c>
      <c r="C7" s="48"/>
      <c r="D7" s="48"/>
      <c r="E7" s="49"/>
      <c r="F7" s="17" t="s">
        <v>48</v>
      </c>
    </row>
    <row r="8" spans="2:6" ht="15">
      <c r="B8" s="16" t="s">
        <v>2</v>
      </c>
      <c r="C8" s="14" t="s">
        <v>36</v>
      </c>
      <c r="D8" s="14" t="s">
        <v>37</v>
      </c>
      <c r="E8" s="14" t="s">
        <v>39</v>
      </c>
      <c r="F8" s="14" t="s">
        <v>49</v>
      </c>
    </row>
    <row r="9" spans="2:6" ht="15">
      <c r="B9" s="16" t="s">
        <v>46</v>
      </c>
      <c r="C9" s="35">
        <f>IF('Noise SI'!C9&gt;0,'Noise SI'!C9,0.1)</f>
        <v>250</v>
      </c>
      <c r="D9" s="35">
        <f>IF('Noise SI'!D9&gt;0,'Noise SI'!D9,0.1)</f>
        <v>50</v>
      </c>
      <c r="E9" s="35">
        <f>IF('Noise SI'!E9&gt;0,'Noise SI'!E9,0.1)</f>
        <v>5</v>
      </c>
      <c r="F9" s="14" t="s">
        <v>44</v>
      </c>
    </row>
    <row r="10" spans="2:6" ht="15">
      <c r="B10" s="16" t="s">
        <v>47</v>
      </c>
      <c r="C10" s="39">
        <f>IF('Noise SI'!C10&gt;0,'Noise SI'!C10,0.1)</f>
        <v>60</v>
      </c>
      <c r="D10" s="39">
        <f>IF('Noise SI'!D10&gt;0,'Noise SI'!D10,0.1)</f>
        <v>45</v>
      </c>
      <c r="E10" s="39">
        <f>IF('Noise SI'!E10&gt;0,'Noise SI'!E10,0.1)</f>
        <v>30</v>
      </c>
      <c r="F10" s="14" t="s">
        <v>45</v>
      </c>
    </row>
    <row r="11" spans="1:5" ht="15">
      <c r="A11" s="20"/>
      <c r="B11" s="8"/>
      <c r="C11" s="8"/>
      <c r="D11" s="8"/>
      <c r="E11" s="21"/>
    </row>
    <row r="12" spans="1:5" ht="15">
      <c r="A12" s="9"/>
      <c r="B12" s="8"/>
      <c r="C12" s="8"/>
      <c r="D12" s="8"/>
      <c r="E12" s="9"/>
    </row>
    <row r="13" spans="2:6" ht="16.5">
      <c r="B13" s="47" t="s">
        <v>54</v>
      </c>
      <c r="C13" s="49"/>
      <c r="D13" s="17" t="s">
        <v>48</v>
      </c>
      <c r="E13" s="8"/>
      <c r="F13" s="9"/>
    </row>
    <row r="14" spans="2:6" ht="15">
      <c r="B14" s="16" t="s">
        <v>6</v>
      </c>
      <c r="C14" s="15">
        <f>'Noise SI'!C14</f>
        <v>1</v>
      </c>
      <c r="D14" s="18">
        <v>1</v>
      </c>
      <c r="E14" s="10"/>
      <c r="F14" s="9"/>
    </row>
    <row r="15" spans="2:6" ht="15">
      <c r="B15" s="16" t="s">
        <v>41</v>
      </c>
      <c r="C15" s="15">
        <f>'Noise SI'!C15</f>
        <v>-60</v>
      </c>
      <c r="D15" s="19" t="s">
        <v>40</v>
      </c>
      <c r="E15" s="8"/>
      <c r="F15" s="9"/>
    </row>
    <row r="16" spans="2:6" ht="15">
      <c r="B16" s="16" t="s">
        <v>42</v>
      </c>
      <c r="C16" s="15">
        <f>'Noise SI'!C16</f>
        <v>60</v>
      </c>
      <c r="D16" s="19" t="s">
        <v>40</v>
      </c>
      <c r="E16" s="8"/>
      <c r="F16" s="9" t="s">
        <v>0</v>
      </c>
    </row>
    <row r="17" spans="2:6" ht="15">
      <c r="B17" s="16" t="s">
        <v>43</v>
      </c>
      <c r="C17" s="15">
        <f>'Noise SI'!C17/0.3048</f>
        <v>196.85039370078738</v>
      </c>
      <c r="D17" s="19" t="s">
        <v>18</v>
      </c>
      <c r="E17" s="8"/>
      <c r="F17" s="9"/>
    </row>
    <row r="18" spans="2:5" ht="15">
      <c r="B18" s="3" t="s">
        <v>7</v>
      </c>
      <c r="C18" s="6">
        <f>C28</f>
        <v>53.244674334761704</v>
      </c>
      <c r="D18" s="1" t="s">
        <v>8</v>
      </c>
      <c r="E18" s="1"/>
    </row>
    <row r="21" ht="15">
      <c r="E21" s="1"/>
    </row>
    <row r="22" spans="2:5" ht="16.5">
      <c r="B22" s="28" t="s">
        <v>55</v>
      </c>
      <c r="C22" s="14" t="s">
        <v>36</v>
      </c>
      <c r="D22" s="14" t="s">
        <v>37</v>
      </c>
      <c r="E22" s="14" t="s">
        <v>39</v>
      </c>
    </row>
    <row r="23" spans="2:5" ht="15">
      <c r="B23" s="13" t="s">
        <v>9</v>
      </c>
      <c r="C23" s="38">
        <f>LOG(C10*1.609)*38.1-2.4</f>
        <v>73.21734791978984</v>
      </c>
      <c r="D23" s="38">
        <f>LOG(D10*1.609)*33.9+16.4</f>
        <v>79.44615411194124</v>
      </c>
      <c r="E23" s="38">
        <f>LOG(E10*1.609)*24.6+38.5</f>
        <v>79.91846155093982</v>
      </c>
    </row>
    <row r="24" spans="2:5" ht="15">
      <c r="B24" s="13" t="s">
        <v>10</v>
      </c>
      <c r="C24" s="38">
        <f>10*LOG(C9*Calculations!C4/C10)-32.3</f>
        <v>-9.11241237375587</v>
      </c>
      <c r="D24" s="38">
        <f>10*LOG(D9*Calculations!D4/D10)-32.3</f>
        <v>-14.852725051033058</v>
      </c>
      <c r="E24" s="38">
        <f>10*LOG(E9*Calculations!E4/E10)-32.3</f>
        <v>-23.091812460476245</v>
      </c>
    </row>
    <row r="25" spans="2:5" ht="15">
      <c r="B25" s="13" t="s">
        <v>11</v>
      </c>
      <c r="C25" s="38">
        <f>10*(1+ALPHA)*LOG(Calculations!C4/Calculations!C5)</f>
        <v>-11.903325667601239</v>
      </c>
      <c r="D25" s="38">
        <f>10*(1+ALPHA)*LOG(Calculations!D4/Calculations!D5)</f>
        <v>-11.903325667601239</v>
      </c>
      <c r="E25" s="38">
        <f>10*(1+ALPHA)*LOG(Calculations!E4/Calculations!E5)</f>
        <v>-11.903325667601239</v>
      </c>
    </row>
    <row r="26" spans="2:5" ht="15">
      <c r="B26" s="13" t="s">
        <v>12</v>
      </c>
      <c r="C26" s="38">
        <f>IF(ALPHA=0,Calculations!B45,Calculations!B44)</f>
        <v>-2.5858895480269397</v>
      </c>
      <c r="D26" s="38">
        <f>C26</f>
        <v>-2.5858895480269397</v>
      </c>
      <c r="E26" s="38">
        <f>C26</f>
        <v>-2.5858895480269397</v>
      </c>
    </row>
    <row r="27" spans="2:5" ht="15">
      <c r="B27" s="3"/>
      <c r="C27" s="38">
        <f>SUM(C23:C26)</f>
        <v>49.61572033040579</v>
      </c>
      <c r="D27" s="38">
        <f>SUM(D23:D26)</f>
        <v>50.10421384528</v>
      </c>
      <c r="E27" s="38">
        <f>SUM(E23:E26)</f>
        <v>42.3374338748354</v>
      </c>
    </row>
    <row r="28" spans="2:4" ht="15">
      <c r="B28" s="3" t="s">
        <v>13</v>
      </c>
      <c r="C28" s="26">
        <f>10/LN(10)*LN(Calculations!E9)</f>
        <v>53.244674334761704</v>
      </c>
      <c r="D28" s="1" t="s">
        <v>14</v>
      </c>
    </row>
  </sheetData>
  <sheetProtection/>
  <mergeCells count="3">
    <mergeCell ref="A1:G1"/>
    <mergeCell ref="B7:E7"/>
    <mergeCell ref="B13:C13"/>
  </mergeCells>
  <printOptions horizontalCentered="1"/>
  <pageMargins left="0.55" right="0.47" top="1.16" bottom="0.984251968503937" header="0.5118110236220472" footer="0.5118110236220472"/>
  <pageSetup fitToHeight="1" fitToWidth="1" horizontalDpi="360" verticalDpi="36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Noise model</dc:title>
  <dc:subject/>
  <dc:creator/>
  <cp:keywords/>
  <dc:description/>
  <cp:lastModifiedBy>Bottarelli</cp:lastModifiedBy>
  <cp:lastPrinted>2000-09-27T15:28:18Z</cp:lastPrinted>
  <dcterms:created xsi:type="dcterms:W3CDTF">2000-09-27T13:36:11Z</dcterms:created>
  <dcterms:modified xsi:type="dcterms:W3CDTF">2019-05-15T20:22:40Z</dcterms:modified>
  <cp:category/>
  <cp:version/>
  <cp:contentType/>
  <cp:contentStatus/>
</cp:coreProperties>
</file>