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pierr\Dropbox\Utenti\Piero\2021\Hilal\"/>
    </mc:Choice>
  </mc:AlternateContent>
  <xr:revisionPtr revIDLastSave="0" documentId="13_ncr:1_{619BD869-23EE-4FC5-AEEC-CD41E72DC339}" xr6:coauthVersionLast="46" xr6:coauthVersionMax="46" xr10:uidLastSave="{00000000-0000-0000-0000-000000000000}"/>
  <bookViews>
    <workbookView xWindow="833" yWindow="-98" windowWidth="19784" windowHeight="13875" xr2:uid="{00000000-000D-0000-FFFF-FFFF00000000}"/>
  </bookViews>
  <sheets>
    <sheet name="Fogl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2" l="1"/>
  <c r="L44" i="2"/>
  <c r="L37" i="2"/>
  <c r="D105" i="2"/>
  <c r="D106" i="2"/>
  <c r="D100" i="2"/>
  <c r="G99" i="2"/>
  <c r="D99" i="2"/>
  <c r="G98" i="2"/>
  <c r="D98" i="2"/>
  <c r="D104" i="2"/>
  <c r="D103" i="2"/>
  <c r="D102" i="2"/>
  <c r="D89" i="2"/>
  <c r="D90" i="2"/>
  <c r="D91" i="2"/>
  <c r="D88" i="2"/>
  <c r="D87" i="2"/>
  <c r="D86" i="2"/>
  <c r="D85" i="2"/>
  <c r="D82" i="2"/>
  <c r="D83" i="2"/>
  <c r="C29" i="2" l="1"/>
  <c r="C28" i="2"/>
  <c r="D65" i="2"/>
  <c r="D66" i="2"/>
  <c r="D67" i="2"/>
  <c r="D68" i="2"/>
  <c r="D69" i="2"/>
  <c r="D70" i="2"/>
  <c r="C70" i="2"/>
  <c r="C69" i="2"/>
  <c r="C68" i="2"/>
  <c r="C67" i="2"/>
  <c r="C66" i="2"/>
  <c r="C65" i="2"/>
  <c r="E43" i="2"/>
  <c r="B39" i="2" s="1"/>
  <c r="F54" i="2"/>
  <c r="E54" i="2"/>
  <c r="E53" i="2"/>
  <c r="G53" i="2" s="1"/>
  <c r="E52" i="2"/>
  <c r="G52" i="2" s="1"/>
  <c r="E51" i="2"/>
  <c r="G51" i="2" s="1"/>
  <c r="F49" i="2"/>
  <c r="E49" i="2"/>
  <c r="B45" i="2"/>
  <c r="E48" i="2"/>
  <c r="G48" i="2" s="1"/>
  <c r="E47" i="2"/>
  <c r="G47" i="2" s="1"/>
  <c r="E46" i="2"/>
  <c r="G46" i="2" s="1"/>
  <c r="E45" i="2"/>
  <c r="G45" i="2" s="1"/>
  <c r="F43" i="2"/>
  <c r="E42" i="2"/>
  <c r="G42" i="2" s="1"/>
  <c r="E41" i="2"/>
  <c r="G41" i="2" s="1"/>
  <c r="E40" i="2"/>
  <c r="G40" i="2" s="1"/>
  <c r="E39" i="2"/>
  <c r="G39" i="2" s="1"/>
  <c r="B19" i="2"/>
  <c r="C19" i="2" s="1"/>
  <c r="B18" i="2"/>
  <c r="C18" i="2" s="1"/>
  <c r="D7" i="2"/>
  <c r="D8" i="2"/>
  <c r="D9" i="2"/>
  <c r="D10" i="2"/>
  <c r="D6" i="2"/>
  <c r="G43" i="2" l="1"/>
  <c r="G49" i="2"/>
  <c r="G54" i="2"/>
</calcChain>
</file>

<file path=xl/sharedStrings.xml><?xml version="1.0" encoding="utf-8"?>
<sst xmlns="http://schemas.openxmlformats.org/spreadsheetml/2006/main" count="227" uniqueCount="77">
  <si>
    <t>Year</t>
  </si>
  <si>
    <t>Source</t>
  </si>
  <si>
    <t>https://doi.org/10.1016/j.egypro.2012.11.073</t>
  </si>
  <si>
    <t>https://doi.org/10.1016/j.egypro.2012.11.074</t>
  </si>
  <si>
    <t>https://doi.org/10.1016/j.egypro.2012.11.075</t>
  </si>
  <si>
    <t>https://doi.org/10.1016/j.egypro.2012.11.076</t>
  </si>
  <si>
    <t>https://doi.org/10.1016/j.enbuild.2008.07.015</t>
  </si>
  <si>
    <t>https://doi.org/10.1016/j.enbuild.2008.07.016</t>
  </si>
  <si>
    <t>https://doi.org/10.1016/j.enbuild.2008.07.017</t>
  </si>
  <si>
    <t>Mapping and analyses of the current and future (2020 - 2030) heating/cooling fuel deployment (fossil/renewables)</t>
  </si>
  <si>
    <t>Fixed O&amp;M</t>
  </si>
  <si>
    <t xml:space="preserve">Variable O&amp;M </t>
  </si>
  <si>
    <t>Technology Data - Energy Plants for Electricity and District heating generation</t>
  </si>
  <si>
    <t>Electricity from new and future plants 2014 Elforsk report</t>
  </si>
  <si>
    <t>https://doi.org/10.1016/j.apenergy.2017.09.058</t>
  </si>
  <si>
    <t>https://doi.org/10.1016/j.apenergy.2017.09.063</t>
  </si>
  <si>
    <t>-</t>
  </si>
  <si>
    <t>Techno-economic projections until 2050 for smaller heating and cooling in the residential and tertiary sectors in the EUtechnologies</t>
  </si>
  <si>
    <t>3-1500 MWh</t>
  </si>
  <si>
    <t>Long term (2050) projections of techno-economic performance of large-scale heating and cooling in the EU</t>
  </si>
  <si>
    <t>Size [kWh]</t>
  </si>
  <si>
    <t>Size [kW]</t>
  </si>
  <si>
    <t>Size [MW]</t>
  </si>
  <si>
    <t>France</t>
  </si>
  <si>
    <t>Germany</t>
  </si>
  <si>
    <t>Italy</t>
  </si>
  <si>
    <t>Spain</t>
  </si>
  <si>
    <t>Average</t>
  </si>
  <si>
    <t>0-10 kW</t>
  </si>
  <si>
    <t>10-500 kW</t>
  </si>
  <si>
    <t>500-Inf kW</t>
  </si>
  <si>
    <t>Absorption chiller (AC)</t>
  </si>
  <si>
    <r>
      <t>Fixed costs [</t>
    </r>
    <r>
      <rPr>
        <b/>
        <sz val="11"/>
        <rFont val="Calibri"/>
        <family val="2"/>
      </rPr>
      <t>€/kW</t>
    </r>
    <r>
      <rPr>
        <b/>
        <sz val="11"/>
        <rFont val="Calibri"/>
        <family val="2"/>
        <scheme val="minor"/>
      </rPr>
      <t>]</t>
    </r>
  </si>
  <si>
    <r>
      <t>Variable costs [</t>
    </r>
    <r>
      <rPr>
        <b/>
        <sz val="11"/>
        <rFont val="Calibri"/>
        <family val="2"/>
      </rPr>
      <t>€/kWh</t>
    </r>
    <r>
      <rPr>
        <b/>
        <sz val="11"/>
        <rFont val="Calibri"/>
        <family val="2"/>
        <scheme val="minor"/>
      </rPr>
      <t>]</t>
    </r>
  </si>
  <si>
    <r>
      <t>Size [m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]</t>
    </r>
  </si>
  <si>
    <t>Solar thermal collector (STC)</t>
  </si>
  <si>
    <t>Range</t>
  </si>
  <si>
    <r>
      <t>Inv. Cost [</t>
    </r>
    <r>
      <rPr>
        <b/>
        <sz val="11"/>
        <rFont val="Calibri"/>
        <family val="2"/>
      </rPr>
      <t>€/m</t>
    </r>
    <r>
      <rPr>
        <b/>
        <vertAlign val="superscript"/>
        <sz val="11"/>
        <rFont val="Calibri"/>
        <family val="2"/>
      </rPr>
      <t>2</t>
    </r>
    <r>
      <rPr>
        <b/>
        <sz val="11"/>
        <rFont val="Calibri"/>
        <family val="2"/>
        <scheme val="minor"/>
      </rPr>
      <t>]</t>
    </r>
  </si>
  <si>
    <t>Inv. Cost [€/kW]</t>
  </si>
  <si>
    <t>Inv. Cost [$/kW]</t>
  </si>
  <si>
    <t>Inv. Cost [$/m2]</t>
  </si>
  <si>
    <t>Solar photovoltaic (PV)</t>
  </si>
  <si>
    <t xml:space="preserve">IRENA Renewable power generation costs in 2019 </t>
  </si>
  <si>
    <t>IRENA Renewable power generation costs in 2020</t>
  </si>
  <si>
    <t>IRENA Renewable power generation costs in 2021</t>
  </si>
  <si>
    <t>IRENA Renewable power generation costs in 2022</t>
  </si>
  <si>
    <t>IRENA Renewable power generation costs in 2023</t>
  </si>
  <si>
    <t>IRENA Renewable power generation costs in 2025</t>
  </si>
  <si>
    <t>IRENA Renewable power generation costs in 2026</t>
  </si>
  <si>
    <t>IRENA Renewable power generation costs in 2027</t>
  </si>
  <si>
    <t>IRENA Renewable power generation costs in 2028</t>
  </si>
  <si>
    <t>IRENA Renewable power generation costs in 2029</t>
  </si>
  <si>
    <t>IRENA Renewable power generation costs in 2031</t>
  </si>
  <si>
    <t>IRENA Renewable power generation costs in 2032</t>
  </si>
  <si>
    <t>IRENA Renewable power generation costs in 2033</t>
  </si>
  <si>
    <t>IRENA Renewable power generation costs in 2034</t>
  </si>
  <si>
    <t>Fixed costs [€/kW]</t>
  </si>
  <si>
    <t>Variable costs [€/kWh]</t>
  </si>
  <si>
    <r>
      <t>Residential [0-50] m</t>
    </r>
    <r>
      <rPr>
        <b/>
        <vertAlign val="superscript"/>
        <sz val="11"/>
        <rFont val="Calibri"/>
        <family val="2"/>
        <scheme val="minor"/>
      </rPr>
      <t>2</t>
    </r>
  </si>
  <si>
    <r>
      <t>Size [m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]</t>
    </r>
  </si>
  <si>
    <r>
      <t>Commercial [50-2500] m</t>
    </r>
    <r>
      <rPr>
        <b/>
        <vertAlign val="superscript"/>
        <sz val="11"/>
        <rFont val="Calibri"/>
        <family val="2"/>
        <scheme val="minor"/>
      </rPr>
      <t>2</t>
    </r>
  </si>
  <si>
    <r>
      <t>Utility scale [2500-20000] m</t>
    </r>
    <r>
      <rPr>
        <b/>
        <vertAlign val="superscript"/>
        <sz val="11"/>
        <rFont val="Calibri"/>
        <family val="2"/>
        <scheme val="minor"/>
      </rPr>
      <t>2</t>
    </r>
  </si>
  <si>
    <t>Technology Data for heating installations</t>
  </si>
  <si>
    <t>Internal conbustion engine (ICE-CHP)</t>
  </si>
  <si>
    <r>
      <t>Inv cost [</t>
    </r>
    <r>
      <rPr>
        <b/>
        <sz val="11"/>
        <rFont val="Calibri"/>
        <family val="2"/>
      </rPr>
      <t>€/kW</t>
    </r>
    <r>
      <rPr>
        <b/>
        <sz val="11"/>
        <rFont val="Calibri"/>
        <family val="2"/>
        <scheme val="minor"/>
      </rPr>
      <t>]</t>
    </r>
  </si>
  <si>
    <r>
      <t>Fixed [</t>
    </r>
    <r>
      <rPr>
        <b/>
        <sz val="11"/>
        <rFont val="Calibri"/>
        <family val="2"/>
      </rPr>
      <t>€</t>
    </r>
    <r>
      <rPr>
        <b/>
        <sz val="11"/>
        <rFont val="Calibri"/>
        <family val="2"/>
        <scheme val="minor"/>
      </rPr>
      <t>/kW]</t>
    </r>
  </si>
  <si>
    <r>
      <t>variable [</t>
    </r>
    <r>
      <rPr>
        <b/>
        <sz val="11"/>
        <rFont val="Calibri"/>
        <family val="2"/>
      </rPr>
      <t>€</t>
    </r>
    <r>
      <rPr>
        <b/>
        <sz val="11"/>
        <rFont val="Calibri"/>
        <family val="2"/>
        <scheme val="minor"/>
      </rPr>
      <t>/kWh]</t>
    </r>
  </si>
  <si>
    <t>Air source heat pump (ASHP)</t>
  </si>
  <si>
    <r>
      <t xml:space="preserve">150 </t>
    </r>
    <r>
      <rPr>
        <sz val="11"/>
        <rFont val="Calibri"/>
        <family val="2"/>
      </rPr>
      <t>€/unit</t>
    </r>
  </si>
  <si>
    <r>
      <t xml:space="preserve">246 </t>
    </r>
    <r>
      <rPr>
        <sz val="11"/>
        <rFont val="Calibri"/>
        <family val="2"/>
      </rPr>
      <t>€/unit</t>
    </r>
  </si>
  <si>
    <r>
      <t xml:space="preserve">450 </t>
    </r>
    <r>
      <rPr>
        <sz val="11"/>
        <rFont val="Calibri"/>
        <family val="2"/>
      </rPr>
      <t>€/unit</t>
    </r>
  </si>
  <si>
    <t>Gas boiler (GB)</t>
  </si>
  <si>
    <t>Inv cost [€/kWh]</t>
  </si>
  <si>
    <r>
      <t>100 – 50000 m</t>
    </r>
    <r>
      <rPr>
        <vertAlign val="superscript"/>
        <sz val="11"/>
        <rFont val="Calibri"/>
        <family val="2"/>
        <scheme val="minor"/>
      </rPr>
      <t>3</t>
    </r>
  </si>
  <si>
    <t>Thermal energy storage (TES)</t>
  </si>
  <si>
    <r>
      <t>0-100 m</t>
    </r>
    <r>
      <rPr>
        <vertAlign val="superscript"/>
        <sz val="11"/>
        <rFont val="Calibri"/>
        <family val="2"/>
        <scheme val="minor"/>
      </rPr>
      <t>3</t>
    </r>
  </si>
  <si>
    <r>
      <t>Size [m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</si>
</sst>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9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1"/>
      <name val="Calibri"/>
      <family val="2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7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/>
    <xf numFmtId="0" fontId="9" fillId="0" borderId="0" xfId="0" applyFont="1" applyBorder="1" applyAlignment="1"/>
    <xf numFmtId="1" fontId="2" fillId="0" borderId="9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/>
    <xf numFmtId="0" fontId="7" fillId="0" borderId="1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/>
    </xf>
    <xf numFmtId="0" fontId="13" fillId="0" borderId="7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0" xfId="0" applyFont="1" applyBorder="1" applyAlignment="1">
      <alignment horizontal="left"/>
    </xf>
    <xf numFmtId="0" fontId="2" fillId="0" borderId="9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1" fontId="4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7" fillId="0" borderId="16" xfId="0" applyNumberFormat="1" applyFont="1" applyBorder="1" applyAlignment="1">
      <alignment horizontal="center"/>
    </xf>
    <xf numFmtId="1" fontId="7" fillId="0" borderId="17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2" fillId="0" borderId="0" xfId="0" applyFont="1" applyFill="1" applyBorder="1"/>
    <xf numFmtId="9" fontId="2" fillId="0" borderId="0" xfId="0" applyNumberFormat="1" applyFont="1" applyBorder="1" applyAlignment="1">
      <alignment horizontal="center"/>
    </xf>
    <xf numFmtId="0" fontId="2" fillId="0" borderId="9" xfId="0" applyFont="1" applyFill="1" applyBorder="1"/>
    <xf numFmtId="1" fontId="2" fillId="0" borderId="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8" xfId="0" applyFont="1" applyBorder="1"/>
    <xf numFmtId="0" fontId="5" fillId="0" borderId="16" xfId="0" applyFont="1" applyBorder="1"/>
    <xf numFmtId="2" fontId="7" fillId="0" borderId="17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Foglio2!$B$1</c:f>
              <c:strCache>
                <c:ptCount val="1"/>
                <c:pt idx="0">
                  <c:v>Absorption chiller (AC)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tx1"/>
                </a:solidFill>
                <a:prstDash val="sysDash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4.6912510936132981E-2"/>
                  <c:y val="-0.31941439441731506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Foglio2!$C$3:$C$10</c:f>
              <c:numCache>
                <c:formatCode>General</c:formatCode>
                <c:ptCount val="8"/>
                <c:pt idx="0">
                  <c:v>20</c:v>
                </c:pt>
                <c:pt idx="1">
                  <c:v>40</c:v>
                </c:pt>
                <c:pt idx="2">
                  <c:v>100</c:v>
                </c:pt>
                <c:pt idx="3">
                  <c:v>1000</c:v>
                </c:pt>
                <c:pt idx="4">
                  <c:v>2000</c:v>
                </c:pt>
                <c:pt idx="5">
                  <c:v>5000</c:v>
                </c:pt>
                <c:pt idx="6">
                  <c:v>7000</c:v>
                </c:pt>
                <c:pt idx="7">
                  <c:v>10000</c:v>
                </c:pt>
              </c:numCache>
            </c:numRef>
          </c:xVal>
          <c:yVal>
            <c:numRef>
              <c:f>Foglio2!$D$3:$D$10</c:f>
              <c:numCache>
                <c:formatCode>General</c:formatCode>
                <c:ptCount val="8"/>
                <c:pt idx="0">
                  <c:v>1100</c:v>
                </c:pt>
                <c:pt idx="1">
                  <c:v>800</c:v>
                </c:pt>
                <c:pt idx="2">
                  <c:v>500</c:v>
                </c:pt>
                <c:pt idx="3" formatCode="0">
                  <c:v>420</c:v>
                </c:pt>
                <c:pt idx="4" formatCode="0">
                  <c:v>364.3662486038686</c:v>
                </c:pt>
                <c:pt idx="5" formatCode="0">
                  <c:v>301.9676641310366</c:v>
                </c:pt>
                <c:pt idx="6" formatCode="0">
                  <c:v>281.84101369239494</c:v>
                </c:pt>
                <c:pt idx="7" formatCode="0">
                  <c:v>261.9686309026161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0D-4F03-A893-CA3EC47C0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008560"/>
        <c:axId val="226998720"/>
      </c:scatterChart>
      <c:valAx>
        <c:axId val="22700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</a:rPr>
                  <a:t>P</a:t>
                </a:r>
                <a:r>
                  <a:rPr lang="en-US" sz="1100" b="1" baseline="-25000">
                    <a:solidFill>
                      <a:sysClr val="windowText" lastClr="000000"/>
                    </a:solidFill>
                  </a:rPr>
                  <a:t>cool,nom</a:t>
                </a:r>
                <a:r>
                  <a:rPr lang="en-US" sz="1100" b="1">
                    <a:solidFill>
                      <a:sysClr val="windowText" lastClr="000000"/>
                    </a:solidFill>
                  </a:rPr>
                  <a:t> [kW]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6998720"/>
        <c:crosses val="autoZero"/>
        <c:crossBetween val="midCat"/>
      </c:valAx>
      <c:valAx>
        <c:axId val="22699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</a:rPr>
                  <a:t>C</a:t>
                </a:r>
                <a:r>
                  <a:rPr lang="en-US" sz="1100" b="1" baseline="-25000">
                    <a:solidFill>
                      <a:sysClr val="windowText" lastClr="000000"/>
                    </a:solidFill>
                  </a:rPr>
                  <a:t>inv</a:t>
                </a:r>
                <a:r>
                  <a:rPr lang="en-US" sz="1100" b="1">
                    <a:solidFill>
                      <a:sysClr val="windowText" lastClr="000000"/>
                    </a:solidFill>
                  </a:rPr>
                  <a:t> [€/kW]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7008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0183267716535438"/>
          <c:y val="9.3873422072240961E-2"/>
          <c:w val="0.30094510061242347"/>
          <c:h val="0.126490438695163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Foglio2!$B$16</c:f>
              <c:strCache>
                <c:ptCount val="1"/>
                <c:pt idx="0">
                  <c:v>Solar thermal collector (STC)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ysDash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1.8013998250218722E-3"/>
                  <c:y val="-0.27004546966840415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Foglio2!$B$18:$B$29</c:f>
              <c:numCache>
                <c:formatCode>0</c:formatCode>
                <c:ptCount val="12"/>
                <c:pt idx="0">
                  <c:v>10</c:v>
                </c:pt>
                <c:pt idx="1">
                  <c:v>50</c:v>
                </c:pt>
                <c:pt idx="2" formatCode="General">
                  <c:v>13000</c:v>
                </c:pt>
                <c:pt idx="3" formatCode="General">
                  <c:v>5000</c:v>
                </c:pt>
                <c:pt idx="4" formatCode="General">
                  <c:v>10000</c:v>
                </c:pt>
                <c:pt idx="5" formatCode="General">
                  <c:v>20000</c:v>
                </c:pt>
                <c:pt idx="6" formatCode="General">
                  <c:v>10</c:v>
                </c:pt>
                <c:pt idx="7" formatCode="General">
                  <c:v>100</c:v>
                </c:pt>
                <c:pt idx="8" formatCode="General">
                  <c:v>1000</c:v>
                </c:pt>
                <c:pt idx="9" formatCode="General">
                  <c:v>10000</c:v>
                </c:pt>
                <c:pt idx="10" formatCode="General">
                  <c:v>6</c:v>
                </c:pt>
                <c:pt idx="11" formatCode="General">
                  <c:v>200</c:v>
                </c:pt>
              </c:numCache>
            </c:numRef>
          </c:xVal>
          <c:yVal>
            <c:numRef>
              <c:f>Foglio2!$C$18:$C$29</c:f>
              <c:numCache>
                <c:formatCode>General</c:formatCode>
                <c:ptCount val="12"/>
                <c:pt idx="0">
                  <c:v>490</c:v>
                </c:pt>
                <c:pt idx="1">
                  <c:v>408</c:v>
                </c:pt>
                <c:pt idx="2">
                  <c:v>187</c:v>
                </c:pt>
                <c:pt idx="3">
                  <c:v>209</c:v>
                </c:pt>
                <c:pt idx="4">
                  <c:v>187</c:v>
                </c:pt>
                <c:pt idx="5">
                  <c:v>174</c:v>
                </c:pt>
                <c:pt idx="6">
                  <c:v>550</c:v>
                </c:pt>
                <c:pt idx="7">
                  <c:v>320</c:v>
                </c:pt>
                <c:pt idx="8">
                  <c:v>230</c:v>
                </c:pt>
                <c:pt idx="9">
                  <c:v>190</c:v>
                </c:pt>
                <c:pt idx="10">
                  <c:v>400</c:v>
                </c:pt>
                <c:pt idx="11">
                  <c:v>370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A0-4BB4-B46B-CAC1D7E4C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008560"/>
        <c:axId val="226998720"/>
      </c:scatterChart>
      <c:valAx>
        <c:axId val="22700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</a:rPr>
                  <a:t>Area [</a:t>
                </a:r>
                <a:r>
                  <a:rPr lang="en-US" sz="1100" b="1" baseline="0">
                    <a:solidFill>
                      <a:sysClr val="windowText" lastClr="000000"/>
                    </a:solidFill>
                  </a:rPr>
                  <a:t>m</a:t>
                </a:r>
                <a:r>
                  <a:rPr lang="en-US" sz="1100" b="1" baseline="30000">
                    <a:solidFill>
                      <a:sysClr val="windowText" lastClr="000000"/>
                    </a:solidFill>
                  </a:rPr>
                  <a:t>2</a:t>
                </a:r>
                <a:r>
                  <a:rPr lang="en-US" sz="1100" b="1">
                    <a:solidFill>
                      <a:sysClr val="windowText" lastClr="000000"/>
                    </a:solidFill>
                  </a:rPr>
                  <a:t>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6998720"/>
        <c:crosses val="autoZero"/>
        <c:crossBetween val="midCat"/>
      </c:valAx>
      <c:valAx>
        <c:axId val="22699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</a:rPr>
                  <a:t>C</a:t>
                </a:r>
                <a:r>
                  <a:rPr lang="en-US" sz="1100" b="1" baseline="-25000">
                    <a:solidFill>
                      <a:sysClr val="windowText" lastClr="000000"/>
                    </a:solidFill>
                  </a:rPr>
                  <a:t>inv</a:t>
                </a:r>
                <a:r>
                  <a:rPr lang="en-US" sz="1100" b="1">
                    <a:solidFill>
                      <a:sysClr val="windowText" lastClr="000000"/>
                    </a:solidFill>
                  </a:rPr>
                  <a:t> [€/m</a:t>
                </a:r>
                <a:r>
                  <a:rPr lang="en-US" sz="1100" b="1" baseline="30000">
                    <a:solidFill>
                      <a:sysClr val="windowText" lastClr="000000"/>
                    </a:solidFill>
                  </a:rPr>
                  <a:t>2</a:t>
                </a:r>
                <a:r>
                  <a:rPr lang="en-US" sz="1100" b="1">
                    <a:solidFill>
                      <a:sysClr val="windowText" lastClr="000000"/>
                    </a:solidFill>
                  </a:rPr>
                  <a:t>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7008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1016601049868771"/>
          <c:y val="9.3873422072240961E-2"/>
          <c:w val="0.39261176727909008"/>
          <c:h val="0.1215448959087829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Foglio2!$B$60</c:f>
              <c:strCache>
                <c:ptCount val="1"/>
                <c:pt idx="0">
                  <c:v>Internal conbustion engine (ICE-CHP)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trendline>
            <c:spPr>
              <a:ln w="15875" cap="rnd">
                <a:solidFill>
                  <a:schemeClr val="tx1"/>
                </a:solidFill>
                <a:prstDash val="sysDash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4.6912510936132981E-2"/>
                  <c:y val="-0.31941439441731506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Foglio2!$C$62:$C$74</c:f>
              <c:numCache>
                <c:formatCode>0</c:formatCode>
                <c:ptCount val="13"/>
                <c:pt idx="0">
                  <c:v>20</c:v>
                </c:pt>
                <c:pt idx="1">
                  <c:v>5000</c:v>
                </c:pt>
                <c:pt idx="2">
                  <c:v>12</c:v>
                </c:pt>
                <c:pt idx="3" formatCode="General">
                  <c:v>1000</c:v>
                </c:pt>
                <c:pt idx="4" formatCode="General">
                  <c:v>2000</c:v>
                </c:pt>
                <c:pt idx="5" formatCode="General">
                  <c:v>3000</c:v>
                </c:pt>
                <c:pt idx="6" formatCode="General">
                  <c:v>5000</c:v>
                </c:pt>
                <c:pt idx="7" formatCode="General">
                  <c:v>7000</c:v>
                </c:pt>
                <c:pt idx="8" formatCode="General">
                  <c:v>10000</c:v>
                </c:pt>
                <c:pt idx="9" formatCode="General">
                  <c:v>1000</c:v>
                </c:pt>
                <c:pt idx="10" formatCode="General">
                  <c:v>100</c:v>
                </c:pt>
                <c:pt idx="11" formatCode="General">
                  <c:v>1000</c:v>
                </c:pt>
                <c:pt idx="12" formatCode="General">
                  <c:v>10000</c:v>
                </c:pt>
              </c:numCache>
            </c:numRef>
          </c:xVal>
          <c:yVal>
            <c:numRef>
              <c:f>Foglio2!$D$62:$D$74</c:f>
              <c:numCache>
                <c:formatCode>General</c:formatCode>
                <c:ptCount val="13"/>
                <c:pt idx="0">
                  <c:v>1019</c:v>
                </c:pt>
                <c:pt idx="1">
                  <c:v>445</c:v>
                </c:pt>
                <c:pt idx="2">
                  <c:v>1721</c:v>
                </c:pt>
                <c:pt idx="3" formatCode="0">
                  <c:v>700</c:v>
                </c:pt>
                <c:pt idx="4" formatCode="0">
                  <c:v>568.57667744936475</c:v>
                </c:pt>
                <c:pt idx="5" formatCode="0">
                  <c:v>503.45616532740513</c:v>
                </c:pt>
                <c:pt idx="6" formatCode="0">
                  <c:v>431.92370390400669</c:v>
                </c:pt>
                <c:pt idx="7" formatCode="0">
                  <c:v>390.4528777122722</c:v>
                </c:pt>
                <c:pt idx="8" formatCode="0">
                  <c:v>350.83106353909056</c:v>
                </c:pt>
                <c:pt idx="9">
                  <c:v>950</c:v>
                </c:pt>
                <c:pt idx="10">
                  <c:v>1370</c:v>
                </c:pt>
                <c:pt idx="11">
                  <c:v>1000</c:v>
                </c:pt>
                <c:pt idx="12">
                  <c:v>493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15-4BB7-808F-F9D5649C6D6D}"/>
            </c:ext>
          </c:extLst>
        </c:ser>
        <c:ser>
          <c:idx val="1"/>
          <c:order val="1"/>
          <c:tx>
            <c:strRef>
              <c:f>Foglio2!$B$76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Foglio2!$C$75:$C$80</c:f>
              <c:numCache>
                <c:formatCode>0</c:formatCode>
                <c:ptCount val="6"/>
              </c:numCache>
            </c:numRef>
          </c:xVal>
          <c:yVal>
            <c:numRef>
              <c:f>Foglio2!$D$75:$D$80</c:f>
              <c:numCache>
                <c:formatCode>0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15-4BB7-808F-F9D5649C6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008560"/>
        <c:axId val="226998720"/>
      </c:scatterChart>
      <c:valAx>
        <c:axId val="22700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</a:rPr>
                  <a:t>P</a:t>
                </a:r>
                <a:r>
                  <a:rPr lang="en-US" sz="1100" b="1" baseline="-25000">
                    <a:solidFill>
                      <a:sysClr val="windowText" lastClr="000000"/>
                    </a:solidFill>
                  </a:rPr>
                  <a:t>el,nom</a:t>
                </a:r>
                <a:r>
                  <a:rPr lang="en-US" sz="1100" b="1">
                    <a:solidFill>
                      <a:sysClr val="windowText" lastClr="000000"/>
                    </a:solidFill>
                  </a:rPr>
                  <a:t> [kW]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6998720"/>
        <c:crosses val="autoZero"/>
        <c:crossBetween val="midCat"/>
      </c:valAx>
      <c:valAx>
        <c:axId val="22699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</a:rPr>
                  <a:t>C</a:t>
                </a:r>
                <a:r>
                  <a:rPr lang="en-US" sz="1100" b="1" baseline="-25000">
                    <a:solidFill>
                      <a:sysClr val="windowText" lastClr="000000"/>
                    </a:solidFill>
                  </a:rPr>
                  <a:t>inv</a:t>
                </a:r>
                <a:r>
                  <a:rPr lang="en-US" sz="1100" b="1">
                    <a:solidFill>
                      <a:sysClr val="windowText" lastClr="000000"/>
                    </a:solidFill>
                  </a:rPr>
                  <a:t> [€/kW</a:t>
                </a:r>
                <a:r>
                  <a:rPr lang="en-US" sz="1100" b="1" baseline="-25000">
                    <a:solidFill>
                      <a:sysClr val="windowText" lastClr="000000"/>
                    </a:solidFill>
                  </a:rPr>
                  <a:t>e</a:t>
                </a:r>
                <a:r>
                  <a:rPr lang="en-US" sz="1100" b="1">
                    <a:solidFill>
                      <a:sysClr val="windowText" lastClr="000000"/>
                    </a:solidFill>
                  </a:rPr>
                  <a:t>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7008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54729511068969783"/>
          <c:y val="9.3873299220386758E-2"/>
          <c:w val="0.38030156243558561"/>
          <c:h val="0.12940567147207488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Foglio2!$B$80</c:f>
              <c:strCache>
                <c:ptCount val="1"/>
                <c:pt idx="0">
                  <c:v>Air source heat pump (ASHP)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trendline>
            <c:spPr>
              <a:ln w="15875" cap="rnd">
                <a:solidFill>
                  <a:schemeClr val="tx1"/>
                </a:solidFill>
                <a:prstDash val="sysDash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1.944897420366833E-2"/>
                  <c:y val="-0.13555156543405283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Foglio2!$C$82:$C$91</c:f>
              <c:numCache>
                <c:formatCode>General</c:formatCode>
                <c:ptCount val="10"/>
                <c:pt idx="0">
                  <c:v>10</c:v>
                </c:pt>
                <c:pt idx="1">
                  <c:v>15</c:v>
                </c:pt>
                <c:pt idx="2">
                  <c:v>4000</c:v>
                </c:pt>
                <c:pt idx="3">
                  <c:v>10</c:v>
                </c:pt>
                <c:pt idx="4">
                  <c:v>20</c:v>
                </c:pt>
                <c:pt idx="5">
                  <c:v>750</c:v>
                </c:pt>
                <c:pt idx="6">
                  <c:v>1000</c:v>
                </c:pt>
                <c:pt idx="7">
                  <c:v>2000</c:v>
                </c:pt>
                <c:pt idx="8">
                  <c:v>5000</c:v>
                </c:pt>
                <c:pt idx="9">
                  <c:v>10000</c:v>
                </c:pt>
              </c:numCache>
            </c:numRef>
          </c:xVal>
          <c:yVal>
            <c:numRef>
              <c:f>Foglio2!$D$82:$D$91</c:f>
              <c:numCache>
                <c:formatCode>General</c:formatCode>
                <c:ptCount val="10"/>
                <c:pt idx="0">
                  <c:v>940</c:v>
                </c:pt>
                <c:pt idx="1">
                  <c:v>800</c:v>
                </c:pt>
                <c:pt idx="2">
                  <c:v>660</c:v>
                </c:pt>
                <c:pt idx="3">
                  <c:v>1100</c:v>
                </c:pt>
                <c:pt idx="4" formatCode="0">
                  <c:v>769.45</c:v>
                </c:pt>
                <c:pt idx="5" formatCode="0">
                  <c:v>800</c:v>
                </c:pt>
                <c:pt idx="6" formatCode="0.00">
                  <c:v>781.59999999999991</c:v>
                </c:pt>
                <c:pt idx="7" formatCode="0.00">
                  <c:v>718.22230972722548</c:v>
                </c:pt>
                <c:pt idx="8" formatCode="0.00">
                  <c:v>642.25901688183103</c:v>
                </c:pt>
                <c:pt idx="9" formatCode="0.00">
                  <c:v>590.18008514330302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96-4620-B133-6B9B4D8E8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008560"/>
        <c:axId val="226998720"/>
      </c:scatterChart>
      <c:valAx>
        <c:axId val="22700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</a:rPr>
                  <a:t>P</a:t>
                </a:r>
                <a:r>
                  <a:rPr lang="en-US" sz="1100" b="1" baseline="-25000">
                    <a:solidFill>
                      <a:sysClr val="windowText" lastClr="000000"/>
                    </a:solidFill>
                  </a:rPr>
                  <a:t>th,nom</a:t>
                </a:r>
                <a:r>
                  <a:rPr lang="en-US" sz="1100" b="1">
                    <a:solidFill>
                      <a:sysClr val="windowText" lastClr="000000"/>
                    </a:solidFill>
                  </a:rPr>
                  <a:t> [kW]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6998720"/>
        <c:crosses val="autoZero"/>
        <c:crossBetween val="midCat"/>
      </c:valAx>
      <c:valAx>
        <c:axId val="22699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</a:rPr>
                  <a:t>C</a:t>
                </a:r>
                <a:r>
                  <a:rPr lang="en-US" sz="1100" b="1" baseline="-25000">
                    <a:solidFill>
                      <a:sysClr val="windowText" lastClr="000000"/>
                    </a:solidFill>
                  </a:rPr>
                  <a:t>inv</a:t>
                </a:r>
                <a:r>
                  <a:rPr lang="en-US" sz="1100" b="1">
                    <a:solidFill>
                      <a:sysClr val="windowText" lastClr="000000"/>
                    </a:solidFill>
                  </a:rPr>
                  <a:t> [€/kW]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7008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143401823292798"/>
          <c:y val="0.10047492620004486"/>
          <c:w val="0.41928823246206648"/>
          <c:h val="0.1264904386951631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Foglio2!$B$94</c:f>
              <c:strCache>
                <c:ptCount val="1"/>
                <c:pt idx="0">
                  <c:v>Gas boiler (GB)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ysDash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4.3732819270372265E-2"/>
                  <c:y val="-0.430266696264822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Foglio2!$C$96:$C$106</c:f>
              <c:numCache>
                <c:formatCode>0</c:formatCode>
                <c:ptCount val="11"/>
                <c:pt idx="0">
                  <c:v>500</c:v>
                </c:pt>
                <c:pt idx="1">
                  <c:v>10000</c:v>
                </c:pt>
                <c:pt idx="2">
                  <c:v>10</c:v>
                </c:pt>
                <c:pt idx="3">
                  <c:v>160</c:v>
                </c:pt>
                <c:pt idx="4">
                  <c:v>3000</c:v>
                </c:pt>
                <c:pt idx="5">
                  <c:v>25</c:v>
                </c:pt>
                <c:pt idx="6">
                  <c:v>1000</c:v>
                </c:pt>
                <c:pt idx="7">
                  <c:v>5000</c:v>
                </c:pt>
                <c:pt idx="8">
                  <c:v>10000</c:v>
                </c:pt>
                <c:pt idx="9">
                  <c:v>20000</c:v>
                </c:pt>
                <c:pt idx="10">
                  <c:v>30000</c:v>
                </c:pt>
              </c:numCache>
            </c:numRef>
          </c:xVal>
          <c:yVal>
            <c:numRef>
              <c:f>Foglio2!$D$96:$D$106</c:f>
              <c:numCache>
                <c:formatCode>General</c:formatCode>
                <c:ptCount val="11"/>
                <c:pt idx="0">
                  <c:v>130</c:v>
                </c:pt>
                <c:pt idx="1">
                  <c:v>70</c:v>
                </c:pt>
                <c:pt idx="2" formatCode="0">
                  <c:v>310</c:v>
                </c:pt>
                <c:pt idx="3" formatCode="0">
                  <c:v>110</c:v>
                </c:pt>
                <c:pt idx="4">
                  <c:v>60</c:v>
                </c:pt>
                <c:pt idx="5">
                  <c:v>172</c:v>
                </c:pt>
                <c:pt idx="6" formatCode="0">
                  <c:v>170</c:v>
                </c:pt>
                <c:pt idx="7" formatCode="0">
                  <c:v>85.464035289215971</c:v>
                </c:pt>
                <c:pt idx="8" formatCode="0">
                  <c:v>77.024501340994206</c:v>
                </c:pt>
                <c:pt idx="9" formatCode="0">
                  <c:v>69.418367465939554</c:v>
                </c:pt>
                <c:pt idx="10" formatCode="0">
                  <c:v>65.322185583032606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C8-44B3-AE93-2D3BD448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008560"/>
        <c:axId val="226998720"/>
      </c:scatterChart>
      <c:valAx>
        <c:axId val="22700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</a:rPr>
                  <a:t>P</a:t>
                </a:r>
                <a:r>
                  <a:rPr lang="en-US" sz="1100" b="1" baseline="-25000">
                    <a:solidFill>
                      <a:sysClr val="windowText" lastClr="000000"/>
                    </a:solidFill>
                  </a:rPr>
                  <a:t>th,nom</a:t>
                </a:r>
                <a:r>
                  <a:rPr lang="en-US" sz="1100" b="1">
                    <a:solidFill>
                      <a:sysClr val="windowText" lastClr="000000"/>
                    </a:solidFill>
                  </a:rPr>
                  <a:t> [kW]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6998720"/>
        <c:crosses val="autoZero"/>
        <c:crossBetween val="midCat"/>
      </c:valAx>
      <c:valAx>
        <c:axId val="22699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</a:rPr>
                  <a:t>C</a:t>
                </a:r>
                <a:r>
                  <a:rPr lang="en-US" sz="1100" b="1" baseline="-25000">
                    <a:solidFill>
                      <a:sysClr val="windowText" lastClr="000000"/>
                    </a:solidFill>
                  </a:rPr>
                  <a:t>inv</a:t>
                </a:r>
                <a:r>
                  <a:rPr lang="en-US" sz="1100" b="1">
                    <a:solidFill>
                      <a:sysClr val="windowText" lastClr="000000"/>
                    </a:solidFill>
                  </a:rPr>
                  <a:t> [€/kW]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27008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2775241112612401"/>
          <c:y val="7.3985456181569778E-2"/>
          <c:w val="0.26642827190979823"/>
          <c:h val="0.10756943027027188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Solar photovoltaic (PV)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8902966382335311E-2"/>
          <c:y val="8.3059109623590685E-2"/>
          <c:w val="0.89019685039370078"/>
          <c:h val="0.723740346075718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Foglio2!$C$37</c:f>
              <c:strCache>
                <c:ptCount val="1"/>
                <c:pt idx="0">
                  <c:v>Residential [0-50] m2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(Foglio2!$D$37:$K$37,Foglio2!$L$37)</c15:sqref>
                  </c15:fullRef>
                </c:ext>
              </c:extLst>
              <c:f>Foglio2!$L$37</c:f>
              <c:numCache>
                <c:formatCode>General</c:formatCode>
                <c:ptCount val="1"/>
                <c:pt idx="0" formatCode="0">
                  <c:v>290.51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C-416D-B204-0220FB8BEE6D}"/>
            </c:ext>
          </c:extLst>
        </c:ser>
        <c:ser>
          <c:idx val="1"/>
          <c:order val="1"/>
          <c:tx>
            <c:strRef>
              <c:f>Foglio2!$C$44</c:f>
              <c:strCache>
                <c:ptCount val="1"/>
                <c:pt idx="0">
                  <c:v>Commercial [50-2500] m2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(Foglio2!$D$44:$K$44,Foglio2!$L$44)</c15:sqref>
                  </c15:fullRef>
                </c:ext>
              </c:extLst>
              <c:f>Foglio2!$L$44</c:f>
              <c:numCache>
                <c:formatCode>General</c:formatCode>
                <c:ptCount val="1"/>
                <c:pt idx="0" formatCode="0">
                  <c:v>238.82999999999998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C-416D-B204-0220FB8BEE6D}"/>
            </c:ext>
          </c:extLst>
        </c:ser>
        <c:ser>
          <c:idx val="2"/>
          <c:order val="2"/>
          <c:tx>
            <c:strRef>
              <c:f>Foglio2!$C$50</c:f>
              <c:strCache>
                <c:ptCount val="1"/>
                <c:pt idx="0">
                  <c:v>Utility scale [2500-20000] m2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(Foglio2!$D$50:$K$50,Foglio2!$L$50)</c15:sqref>
                  </c15:fullRef>
                </c:ext>
              </c:extLst>
              <c:f>Foglio2!$L$50</c:f>
              <c:numCache>
                <c:formatCode>General</c:formatCode>
                <c:ptCount val="1"/>
                <c:pt idx="0" formatCode="0">
                  <c:v>171.50666666666666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CC-416D-B204-0220FB8BE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656799"/>
        <c:axId val="143658463"/>
      </c:barChart>
      <c:catAx>
        <c:axId val="14365679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3658463"/>
        <c:crosses val="autoZero"/>
        <c:auto val="1"/>
        <c:lblAlgn val="ctr"/>
        <c:lblOffset val="100"/>
        <c:noMultiLvlLbl val="0"/>
      </c:catAx>
      <c:valAx>
        <c:axId val="143658463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baseline="0">
                    <a:effectLst/>
                  </a:rPr>
                  <a:t>C</a:t>
                </a:r>
                <a:r>
                  <a:rPr lang="en-US" sz="1100" b="1" i="0" baseline="-25000">
                    <a:effectLst/>
                  </a:rPr>
                  <a:t>inv</a:t>
                </a:r>
                <a:r>
                  <a:rPr lang="en-US" sz="1100" b="1" i="0" baseline="0">
                    <a:effectLst/>
                  </a:rPr>
                  <a:t> [€/m</a:t>
                </a:r>
                <a:r>
                  <a:rPr lang="en-US" sz="1100" b="1" i="0" baseline="30000">
                    <a:effectLst/>
                  </a:rPr>
                  <a:t>2</a:t>
                </a:r>
                <a:r>
                  <a:rPr lang="en-US" sz="1100" b="1" i="0" baseline="0">
                    <a:effectLst/>
                  </a:rPr>
                  <a:t>]</a:t>
                </a:r>
                <a:endParaRPr lang="it-IT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418519254949796E-3"/>
              <c:y val="0.361578446442447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656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05379741855929"/>
          <c:y val="0.82870504492099628"/>
          <c:w val="0.58777885381515638"/>
          <c:h val="4.565249621682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0</xdr:row>
      <xdr:rowOff>57150</xdr:rowOff>
    </xdr:from>
    <xdr:to>
      <xdr:col>16</xdr:col>
      <xdr:colOff>533400</xdr:colOff>
      <xdr:row>14</xdr:row>
      <xdr:rowOff>57150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243840</xdr:colOff>
      <xdr:row>15</xdr:row>
      <xdr:rowOff>22860</xdr:rowOff>
    </xdr:from>
    <xdr:to>
      <xdr:col>16</xdr:col>
      <xdr:colOff>548640</xdr:colOff>
      <xdr:row>30</xdr:row>
      <xdr:rowOff>144780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175260</xdr:colOff>
      <xdr:row>56</xdr:row>
      <xdr:rowOff>152400</xdr:rowOff>
    </xdr:from>
    <xdr:to>
      <xdr:col>19</xdr:col>
      <xdr:colOff>518160</xdr:colOff>
      <xdr:row>74</xdr:row>
      <xdr:rowOff>137160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53340</xdr:colOff>
      <xdr:row>76</xdr:row>
      <xdr:rowOff>129540</xdr:rowOff>
    </xdr:from>
    <xdr:to>
      <xdr:col>19</xdr:col>
      <xdr:colOff>327660</xdr:colOff>
      <xdr:row>94</xdr:row>
      <xdr:rowOff>121920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174171</xdr:colOff>
      <xdr:row>94</xdr:row>
      <xdr:rowOff>119744</xdr:rowOff>
    </xdr:from>
    <xdr:to>
      <xdr:col>19</xdr:col>
      <xdr:colOff>448491</xdr:colOff>
      <xdr:row>112</xdr:row>
      <xdr:rowOff>133895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506865</xdr:colOff>
      <xdr:row>32</xdr:row>
      <xdr:rowOff>115661</xdr:rowOff>
    </xdr:from>
    <xdr:to>
      <xdr:col>23</xdr:col>
      <xdr:colOff>387804</xdr:colOff>
      <xdr:row>56</xdr:row>
      <xdr:rowOff>27214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24D6058-ABF5-40C7-AFF9-0F635EE06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"/>
  <sheetViews>
    <sheetView tabSelected="1" topLeftCell="H25" zoomScale="70" zoomScaleNormal="70" workbookViewId="0">
      <selection activeCell="AB48" sqref="AB47:AB48"/>
    </sheetView>
  </sheetViews>
  <sheetFormatPr defaultRowHeight="14.25" x14ac:dyDescent="0.45"/>
  <cols>
    <col min="1" max="1" width="12.33203125" bestFit="1" customWidth="1"/>
    <col min="2" max="2" width="15.19921875" bestFit="1" customWidth="1"/>
    <col min="3" max="3" width="14.46484375" bestFit="1" customWidth="1"/>
    <col min="4" max="4" width="15.6640625" bestFit="1" customWidth="1"/>
    <col min="5" max="5" width="13" customWidth="1"/>
    <col min="6" max="6" width="38.86328125" customWidth="1"/>
    <col min="7" max="8" width="20.33203125" bestFit="1" customWidth="1"/>
    <col min="9" max="9" width="19.796875" bestFit="1" customWidth="1"/>
    <col min="10" max="10" width="16.19921875" bestFit="1" customWidth="1"/>
    <col min="11" max="11" width="19.796875" bestFit="1" customWidth="1"/>
  </cols>
  <sheetData>
    <row r="1" spans="2:9" x14ac:dyDescent="0.45">
      <c r="B1" s="67" t="s">
        <v>31</v>
      </c>
      <c r="C1" s="68"/>
      <c r="D1" s="68"/>
      <c r="E1" s="68"/>
      <c r="F1" s="68"/>
      <c r="G1" s="68"/>
      <c r="H1" s="69"/>
      <c r="I1" s="22"/>
    </row>
    <row r="2" spans="2:9" x14ac:dyDescent="0.45">
      <c r="B2" s="11" t="s">
        <v>22</v>
      </c>
      <c r="C2" s="9" t="s">
        <v>21</v>
      </c>
      <c r="D2" s="9" t="s">
        <v>38</v>
      </c>
      <c r="E2" s="9" t="s">
        <v>0</v>
      </c>
      <c r="F2" s="9" t="s">
        <v>1</v>
      </c>
      <c r="G2" s="10" t="s">
        <v>32</v>
      </c>
      <c r="H2" s="12" t="s">
        <v>33</v>
      </c>
    </row>
    <row r="3" spans="2:9" x14ac:dyDescent="0.45">
      <c r="B3" s="13">
        <v>0.02</v>
      </c>
      <c r="C3" s="6">
        <v>20</v>
      </c>
      <c r="D3" s="6">
        <v>1100</v>
      </c>
      <c r="E3" s="6">
        <v>2009</v>
      </c>
      <c r="F3" s="8" t="s">
        <v>6</v>
      </c>
      <c r="G3" s="6">
        <v>2</v>
      </c>
      <c r="H3" s="14">
        <v>2.7999999999999998E-4</v>
      </c>
    </row>
    <row r="4" spans="2:9" x14ac:dyDescent="0.45">
      <c r="B4" s="13">
        <v>0.04</v>
      </c>
      <c r="C4" s="6">
        <v>40</v>
      </c>
      <c r="D4" s="6">
        <v>800</v>
      </c>
      <c r="E4" s="6">
        <v>2009</v>
      </c>
      <c r="F4" s="8" t="s">
        <v>7</v>
      </c>
      <c r="G4" s="6">
        <v>2</v>
      </c>
      <c r="H4" s="14">
        <v>2.7999999999999998E-4</v>
      </c>
    </row>
    <row r="5" spans="2:9" x14ac:dyDescent="0.45">
      <c r="B5" s="13">
        <v>0.1</v>
      </c>
      <c r="C5" s="6">
        <v>100</v>
      </c>
      <c r="D5" s="6">
        <v>500</v>
      </c>
      <c r="E5" s="6">
        <v>2009</v>
      </c>
      <c r="F5" s="8" t="s">
        <v>8</v>
      </c>
      <c r="G5" s="6">
        <v>2</v>
      </c>
      <c r="H5" s="14">
        <v>2.7999999999999998E-4</v>
      </c>
    </row>
    <row r="6" spans="2:9" x14ac:dyDescent="0.45">
      <c r="B6" s="13">
        <v>1</v>
      </c>
      <c r="C6" s="6">
        <v>1000</v>
      </c>
      <c r="D6" s="7">
        <f>(0.42*(B6^(-0.205)))*1000</f>
        <v>420</v>
      </c>
      <c r="E6" s="6">
        <v>2017</v>
      </c>
      <c r="F6" s="8" t="s">
        <v>19</v>
      </c>
      <c r="G6" s="6">
        <v>2</v>
      </c>
      <c r="H6" s="14">
        <v>2.7999999999999998E-4</v>
      </c>
    </row>
    <row r="7" spans="2:9" x14ac:dyDescent="0.45">
      <c r="B7" s="13">
        <v>2</v>
      </c>
      <c r="C7" s="6">
        <v>2000</v>
      </c>
      <c r="D7" s="7">
        <f t="shared" ref="D7:D10" si="0">(0.42*(B7^(-0.205)))*1000</f>
        <v>364.3662486038686</v>
      </c>
      <c r="E7" s="6">
        <v>2017</v>
      </c>
      <c r="F7" s="8" t="s">
        <v>19</v>
      </c>
      <c r="G7" s="6">
        <v>2</v>
      </c>
      <c r="H7" s="14">
        <v>2.7999999999999998E-4</v>
      </c>
    </row>
    <row r="8" spans="2:9" x14ac:dyDescent="0.45">
      <c r="B8" s="13">
        <v>5</v>
      </c>
      <c r="C8" s="6">
        <v>5000</v>
      </c>
      <c r="D8" s="7">
        <f t="shared" si="0"/>
        <v>301.9676641310366</v>
      </c>
      <c r="E8" s="6">
        <v>2017</v>
      </c>
      <c r="F8" s="8" t="s">
        <v>19</v>
      </c>
      <c r="G8" s="6">
        <v>2</v>
      </c>
      <c r="H8" s="14">
        <v>2.7999999999999998E-4</v>
      </c>
    </row>
    <row r="9" spans="2:9" x14ac:dyDescent="0.45">
      <c r="B9" s="13">
        <v>7</v>
      </c>
      <c r="C9" s="6">
        <v>7000</v>
      </c>
      <c r="D9" s="7">
        <f t="shared" si="0"/>
        <v>281.84101369239494</v>
      </c>
      <c r="E9" s="6">
        <v>2017</v>
      </c>
      <c r="F9" s="8" t="s">
        <v>19</v>
      </c>
      <c r="G9" s="6">
        <v>2</v>
      </c>
      <c r="H9" s="14">
        <v>2.7999999999999998E-4</v>
      </c>
    </row>
    <row r="10" spans="2:9" ht="14.65" thickBot="1" x14ac:dyDescent="0.5">
      <c r="B10" s="15">
        <v>10</v>
      </c>
      <c r="C10" s="16">
        <v>10000</v>
      </c>
      <c r="D10" s="17">
        <f t="shared" si="0"/>
        <v>261.9686309026161</v>
      </c>
      <c r="E10" s="16">
        <v>2017</v>
      </c>
      <c r="F10" s="18" t="s">
        <v>19</v>
      </c>
      <c r="G10" s="16">
        <v>2</v>
      </c>
      <c r="H10" s="19">
        <v>2.7999999999999998E-4</v>
      </c>
    </row>
    <row r="14" spans="2:9" x14ac:dyDescent="0.45">
      <c r="B14" s="1"/>
      <c r="C14" s="1"/>
      <c r="D14" s="1"/>
      <c r="E14" s="1"/>
    </row>
    <row r="15" spans="2:9" ht="14.65" thickBot="1" x14ac:dyDescent="0.5">
      <c r="B15" s="1"/>
      <c r="C15" s="1"/>
      <c r="D15" s="1"/>
      <c r="E15" s="1"/>
    </row>
    <row r="16" spans="2:9" x14ac:dyDescent="0.45">
      <c r="B16" s="67" t="s">
        <v>35</v>
      </c>
      <c r="C16" s="68"/>
      <c r="D16" s="68"/>
      <c r="E16" s="68"/>
      <c r="F16" s="68"/>
      <c r="G16" s="69"/>
    </row>
    <row r="17" spans="1:7" ht="15.75" x14ac:dyDescent="0.45">
      <c r="A17" s="1"/>
      <c r="B17" s="27" t="s">
        <v>34</v>
      </c>
      <c r="C17" s="28" t="s">
        <v>37</v>
      </c>
      <c r="D17" s="28" t="s">
        <v>0</v>
      </c>
      <c r="E17" s="28" t="s">
        <v>1</v>
      </c>
      <c r="F17" s="28" t="s">
        <v>32</v>
      </c>
      <c r="G17" s="31" t="s">
        <v>33</v>
      </c>
    </row>
    <row r="18" spans="1:7" x14ac:dyDescent="0.45">
      <c r="A18" s="8"/>
      <c r="B18" s="23">
        <f>7/0.7</f>
        <v>10</v>
      </c>
      <c r="C18" s="6">
        <f>4900/B18</f>
        <v>490</v>
      </c>
      <c r="D18" s="6">
        <v>2017</v>
      </c>
      <c r="E18" s="8" t="s">
        <v>17</v>
      </c>
      <c r="F18" s="6" t="s">
        <v>16</v>
      </c>
      <c r="G18" s="14" t="s">
        <v>16</v>
      </c>
    </row>
    <row r="19" spans="1:7" x14ac:dyDescent="0.45">
      <c r="A19" s="8"/>
      <c r="B19" s="23">
        <f>35/0.7</f>
        <v>50</v>
      </c>
      <c r="C19" s="24">
        <f>20400/B19</f>
        <v>408</v>
      </c>
      <c r="D19" s="6">
        <v>2017</v>
      </c>
      <c r="E19" s="8" t="s">
        <v>17</v>
      </c>
      <c r="F19" s="6" t="s">
        <v>16</v>
      </c>
      <c r="G19" s="14" t="s">
        <v>16</v>
      </c>
    </row>
    <row r="20" spans="1:7" x14ac:dyDescent="0.45">
      <c r="A20" s="8"/>
      <c r="B20" s="25">
        <v>13000</v>
      </c>
      <c r="C20" s="24">
        <v>187</v>
      </c>
      <c r="D20" s="24">
        <v>2020</v>
      </c>
      <c r="E20" s="5" t="s">
        <v>12</v>
      </c>
      <c r="F20" s="6" t="s">
        <v>16</v>
      </c>
      <c r="G20" s="14" t="s">
        <v>16</v>
      </c>
    </row>
    <row r="21" spans="1:7" x14ac:dyDescent="0.45">
      <c r="B21" s="25">
        <v>5000</v>
      </c>
      <c r="C21" s="24">
        <v>209</v>
      </c>
      <c r="D21" s="24">
        <v>2015</v>
      </c>
      <c r="E21" s="5" t="s">
        <v>12</v>
      </c>
      <c r="F21" s="6" t="s">
        <v>16</v>
      </c>
      <c r="G21" s="14" t="s">
        <v>16</v>
      </c>
    </row>
    <row r="22" spans="1:7" x14ac:dyDescent="0.45">
      <c r="B22" s="25">
        <v>10000</v>
      </c>
      <c r="C22" s="24">
        <v>187</v>
      </c>
      <c r="D22" s="24">
        <v>2015</v>
      </c>
      <c r="E22" s="5" t="s">
        <v>12</v>
      </c>
      <c r="F22" s="6" t="s">
        <v>16</v>
      </c>
      <c r="G22" s="14" t="s">
        <v>16</v>
      </c>
    </row>
    <row r="23" spans="1:7" x14ac:dyDescent="0.45">
      <c r="B23" s="25">
        <v>20000</v>
      </c>
      <c r="C23" s="24">
        <v>174</v>
      </c>
      <c r="D23" s="24">
        <v>2015</v>
      </c>
      <c r="E23" s="5" t="s">
        <v>12</v>
      </c>
      <c r="F23" s="6" t="s">
        <v>16</v>
      </c>
      <c r="G23" s="14" t="s">
        <v>16</v>
      </c>
    </row>
    <row r="24" spans="1:7" x14ac:dyDescent="0.45">
      <c r="B24" s="25">
        <v>10</v>
      </c>
      <c r="C24" s="24">
        <v>550</v>
      </c>
      <c r="D24" s="24">
        <v>2012</v>
      </c>
      <c r="E24" s="5" t="s">
        <v>2</v>
      </c>
      <c r="F24" s="6" t="s">
        <v>16</v>
      </c>
      <c r="G24" s="14" t="s">
        <v>16</v>
      </c>
    </row>
    <row r="25" spans="1:7" x14ac:dyDescent="0.45">
      <c r="B25" s="25">
        <v>100</v>
      </c>
      <c r="C25" s="24">
        <v>320</v>
      </c>
      <c r="D25" s="24">
        <v>2012</v>
      </c>
      <c r="E25" s="5" t="s">
        <v>3</v>
      </c>
      <c r="F25" s="6" t="s">
        <v>16</v>
      </c>
      <c r="G25" s="14" t="s">
        <v>16</v>
      </c>
    </row>
    <row r="26" spans="1:7" x14ac:dyDescent="0.45">
      <c r="B26" s="25">
        <v>1000</v>
      </c>
      <c r="C26" s="24">
        <v>230</v>
      </c>
      <c r="D26" s="24">
        <v>2012</v>
      </c>
      <c r="E26" s="5" t="s">
        <v>4</v>
      </c>
      <c r="F26" s="6" t="s">
        <v>16</v>
      </c>
      <c r="G26" s="14" t="s">
        <v>16</v>
      </c>
    </row>
    <row r="27" spans="1:7" x14ac:dyDescent="0.45">
      <c r="B27" s="25">
        <v>10000</v>
      </c>
      <c r="C27" s="24">
        <v>190</v>
      </c>
      <c r="D27" s="24">
        <v>2012</v>
      </c>
      <c r="E27" s="5" t="s">
        <v>5</v>
      </c>
      <c r="F27" s="6" t="s">
        <v>16</v>
      </c>
      <c r="G27" s="14" t="s">
        <v>16</v>
      </c>
    </row>
    <row r="28" spans="1:7" x14ac:dyDescent="0.45">
      <c r="B28" s="25">
        <v>6</v>
      </c>
      <c r="C28" s="49">
        <f>2400/B28</f>
        <v>400</v>
      </c>
      <c r="D28" s="49">
        <v>2020</v>
      </c>
      <c r="E28" s="5" t="s">
        <v>62</v>
      </c>
      <c r="F28" s="6" t="s">
        <v>16</v>
      </c>
      <c r="G28" s="14" t="s">
        <v>16</v>
      </c>
    </row>
    <row r="29" spans="1:7" ht="14.65" thickBot="1" x14ac:dyDescent="0.5">
      <c r="B29" s="50">
        <v>200</v>
      </c>
      <c r="C29" s="26">
        <f>74000/B29</f>
        <v>370</v>
      </c>
      <c r="D29" s="51">
        <v>2020</v>
      </c>
      <c r="E29" s="4" t="s">
        <v>62</v>
      </c>
      <c r="F29" s="16" t="s">
        <v>16</v>
      </c>
      <c r="G29" s="19" t="s">
        <v>16</v>
      </c>
    </row>
    <row r="32" spans="1:7" x14ac:dyDescent="0.45">
      <c r="B32" s="49"/>
      <c r="C32" s="1"/>
    </row>
    <row r="33" spans="2:12" x14ac:dyDescent="0.45">
      <c r="B33" s="49"/>
      <c r="C33" s="1"/>
    </row>
    <row r="34" spans="2:12" x14ac:dyDescent="0.45">
      <c r="B34" s="49"/>
      <c r="C34" s="1"/>
    </row>
    <row r="35" spans="2:12" ht="14.65" thickBot="1" x14ac:dyDescent="0.5"/>
    <row r="36" spans="2:12" x14ac:dyDescent="0.45">
      <c r="B36" s="67" t="s">
        <v>41</v>
      </c>
      <c r="C36" s="68"/>
      <c r="D36" s="68"/>
      <c r="E36" s="68"/>
      <c r="F36" s="68"/>
      <c r="G36" s="68"/>
      <c r="H36" s="68"/>
      <c r="I36" s="68"/>
      <c r="J36" s="68"/>
      <c r="K36" s="69"/>
    </row>
    <row r="37" spans="2:12" ht="15.75" x14ac:dyDescent="0.45">
      <c r="B37" s="13" t="s">
        <v>28</v>
      </c>
      <c r="C37" s="76" t="s">
        <v>58</v>
      </c>
      <c r="D37" s="76"/>
      <c r="E37" s="76"/>
      <c r="F37" s="76"/>
      <c r="G37" s="76"/>
      <c r="H37" s="76"/>
      <c r="I37" s="76"/>
      <c r="J37" s="76"/>
      <c r="K37" s="77"/>
      <c r="L37" s="80">
        <f>G43</f>
        <v>290.51</v>
      </c>
    </row>
    <row r="38" spans="2:12" ht="15.75" x14ac:dyDescent="0.45">
      <c r="B38" s="13"/>
      <c r="C38" s="20"/>
      <c r="D38" s="6" t="s">
        <v>21</v>
      </c>
      <c r="E38" s="6" t="s">
        <v>59</v>
      </c>
      <c r="F38" s="41" t="s">
        <v>39</v>
      </c>
      <c r="G38" s="41" t="s">
        <v>40</v>
      </c>
      <c r="H38" s="8" t="s">
        <v>0</v>
      </c>
      <c r="I38" s="6" t="s">
        <v>1</v>
      </c>
      <c r="J38" s="6" t="s">
        <v>56</v>
      </c>
      <c r="K38" s="14" t="s">
        <v>57</v>
      </c>
    </row>
    <row r="39" spans="2:12" x14ac:dyDescent="0.45">
      <c r="B39" s="23">
        <f>10*E43</f>
        <v>52.631578947368425</v>
      </c>
      <c r="C39" s="8" t="s">
        <v>23</v>
      </c>
      <c r="D39" s="6">
        <v>1</v>
      </c>
      <c r="E39" s="42">
        <f>D39/0.19</f>
        <v>5.2631578947368425</v>
      </c>
      <c r="F39" s="6">
        <v>1600</v>
      </c>
      <c r="G39" s="7">
        <f>F39/E39</f>
        <v>304</v>
      </c>
      <c r="H39" s="6">
        <v>2019</v>
      </c>
      <c r="I39" s="44" t="s">
        <v>42</v>
      </c>
      <c r="J39" s="6" t="s">
        <v>16</v>
      </c>
      <c r="K39" s="14" t="s">
        <v>16</v>
      </c>
    </row>
    <row r="40" spans="2:12" x14ac:dyDescent="0.45">
      <c r="B40" s="45"/>
      <c r="C40" s="8" t="s">
        <v>24</v>
      </c>
      <c r="D40" s="6">
        <v>1</v>
      </c>
      <c r="E40" s="42">
        <f t="shared" ref="E40:E54" si="1">D40/0.19</f>
        <v>5.2631578947368425</v>
      </c>
      <c r="F40" s="6">
        <v>1646</v>
      </c>
      <c r="G40" s="7">
        <f>F40/E40</f>
        <v>312.73999999999995</v>
      </c>
      <c r="H40" s="6">
        <v>2019</v>
      </c>
      <c r="I40" s="44" t="s">
        <v>43</v>
      </c>
      <c r="J40" s="6" t="s">
        <v>16</v>
      </c>
      <c r="K40" s="14" t="s">
        <v>16</v>
      </c>
    </row>
    <row r="41" spans="2:12" x14ac:dyDescent="0.45">
      <c r="B41" s="45"/>
      <c r="C41" s="8" t="s">
        <v>25</v>
      </c>
      <c r="D41" s="6">
        <v>1</v>
      </c>
      <c r="E41" s="42">
        <f t="shared" si="1"/>
        <v>5.2631578947368425</v>
      </c>
      <c r="F41" s="6">
        <v>1460</v>
      </c>
      <c r="G41" s="7">
        <f>F41/E41</f>
        <v>277.39999999999998</v>
      </c>
      <c r="H41" s="6">
        <v>2019</v>
      </c>
      <c r="I41" s="44" t="s">
        <v>44</v>
      </c>
      <c r="J41" s="6" t="s">
        <v>16</v>
      </c>
      <c r="K41" s="14" t="s">
        <v>16</v>
      </c>
    </row>
    <row r="42" spans="2:12" x14ac:dyDescent="0.45">
      <c r="B42" s="45"/>
      <c r="C42" s="8" t="s">
        <v>26</v>
      </c>
      <c r="D42" s="6">
        <v>1</v>
      </c>
      <c r="E42" s="42">
        <f t="shared" si="1"/>
        <v>5.2631578947368425</v>
      </c>
      <c r="F42" s="6">
        <v>1410</v>
      </c>
      <c r="G42" s="7">
        <f>F42/E42</f>
        <v>267.89999999999998</v>
      </c>
      <c r="H42" s="6">
        <v>2019</v>
      </c>
      <c r="I42" s="44" t="s">
        <v>45</v>
      </c>
      <c r="J42" s="6" t="s">
        <v>16</v>
      </c>
      <c r="K42" s="14" t="s">
        <v>16</v>
      </c>
    </row>
    <row r="43" spans="2:12" x14ac:dyDescent="0.45">
      <c r="B43" s="45"/>
      <c r="C43" s="36" t="s">
        <v>27</v>
      </c>
      <c r="D43" s="37">
        <v>1</v>
      </c>
      <c r="E43" s="38">
        <f t="shared" si="1"/>
        <v>5.2631578947368425</v>
      </c>
      <c r="F43" s="37">
        <f>AVERAGE(F39:F42)</f>
        <v>1529</v>
      </c>
      <c r="G43" s="39">
        <f>F43/E43</f>
        <v>290.51</v>
      </c>
      <c r="H43" s="6">
        <v>2019</v>
      </c>
      <c r="I43" s="44" t="s">
        <v>46</v>
      </c>
      <c r="J43" s="6" t="s">
        <v>16</v>
      </c>
      <c r="K43" s="14" t="s">
        <v>16</v>
      </c>
    </row>
    <row r="44" spans="2:12" ht="15.75" x14ac:dyDescent="0.45">
      <c r="B44" s="13" t="s">
        <v>29</v>
      </c>
      <c r="C44" s="78" t="s">
        <v>60</v>
      </c>
      <c r="D44" s="78"/>
      <c r="E44" s="78"/>
      <c r="F44" s="78"/>
      <c r="G44" s="78"/>
      <c r="H44" s="78"/>
      <c r="I44" s="78"/>
      <c r="J44" s="78"/>
      <c r="K44" s="79"/>
      <c r="L44" s="80">
        <f>G49</f>
        <v>238.82999999999998</v>
      </c>
    </row>
    <row r="45" spans="2:12" x14ac:dyDescent="0.45">
      <c r="B45" s="23">
        <f>500/0.19</f>
        <v>2631.5789473684208</v>
      </c>
      <c r="C45" s="8" t="s">
        <v>23</v>
      </c>
      <c r="D45" s="6">
        <v>1</v>
      </c>
      <c r="E45" s="42">
        <f t="shared" si="1"/>
        <v>5.2631578947368425</v>
      </c>
      <c r="F45" s="6">
        <v>1678</v>
      </c>
      <c r="G45" s="7">
        <f>F45/E45</f>
        <v>318.82</v>
      </c>
      <c r="H45" s="6">
        <v>2019</v>
      </c>
      <c r="I45" s="44" t="s">
        <v>47</v>
      </c>
      <c r="J45" s="6" t="s">
        <v>16</v>
      </c>
      <c r="K45" s="14" t="s">
        <v>16</v>
      </c>
    </row>
    <row r="46" spans="2:12" x14ac:dyDescent="0.45">
      <c r="B46" s="45"/>
      <c r="C46" s="8" t="s">
        <v>24</v>
      </c>
      <c r="D46" s="6">
        <v>1</v>
      </c>
      <c r="E46" s="42">
        <f t="shared" si="1"/>
        <v>5.2631578947368425</v>
      </c>
      <c r="F46" s="6">
        <v>1130</v>
      </c>
      <c r="G46" s="7">
        <f>F46/E46</f>
        <v>214.7</v>
      </c>
      <c r="H46" s="6">
        <v>2019</v>
      </c>
      <c r="I46" s="44" t="s">
        <v>48</v>
      </c>
      <c r="J46" s="6" t="s">
        <v>16</v>
      </c>
      <c r="K46" s="14" t="s">
        <v>16</v>
      </c>
    </row>
    <row r="47" spans="2:12" x14ac:dyDescent="0.45">
      <c r="B47" s="45"/>
      <c r="C47" s="8" t="s">
        <v>25</v>
      </c>
      <c r="D47" s="6">
        <v>1</v>
      </c>
      <c r="E47" s="42">
        <f t="shared" si="1"/>
        <v>5.2631578947368425</v>
      </c>
      <c r="F47" s="6">
        <v>1140</v>
      </c>
      <c r="G47" s="7">
        <f>F47/E47</f>
        <v>216.6</v>
      </c>
      <c r="H47" s="6">
        <v>2019</v>
      </c>
      <c r="I47" s="44" t="s">
        <v>49</v>
      </c>
      <c r="J47" s="6" t="s">
        <v>16</v>
      </c>
      <c r="K47" s="14" t="s">
        <v>16</v>
      </c>
    </row>
    <row r="48" spans="2:12" x14ac:dyDescent="0.45">
      <c r="B48" s="45"/>
      <c r="C48" s="8" t="s">
        <v>26</v>
      </c>
      <c r="D48" s="6">
        <v>1</v>
      </c>
      <c r="E48" s="42">
        <f t="shared" si="1"/>
        <v>5.2631578947368425</v>
      </c>
      <c r="F48" s="6">
        <v>1080</v>
      </c>
      <c r="G48" s="7">
        <f>F48/E48</f>
        <v>205.2</v>
      </c>
      <c r="H48" s="6">
        <v>2019</v>
      </c>
      <c r="I48" s="44" t="s">
        <v>50</v>
      </c>
      <c r="J48" s="6" t="s">
        <v>16</v>
      </c>
      <c r="K48" s="14" t="s">
        <v>16</v>
      </c>
    </row>
    <row r="49" spans="2:12" x14ac:dyDescent="0.45">
      <c r="B49" s="45"/>
      <c r="C49" s="36" t="s">
        <v>27</v>
      </c>
      <c r="D49" s="37">
        <v>1</v>
      </c>
      <c r="E49" s="38">
        <f t="shared" si="1"/>
        <v>5.2631578947368425</v>
      </c>
      <c r="F49" s="37">
        <f>AVERAGE(F45:F48)</f>
        <v>1257</v>
      </c>
      <c r="G49" s="39">
        <f>F49/E49</f>
        <v>238.82999999999998</v>
      </c>
      <c r="H49" s="6">
        <v>2019</v>
      </c>
      <c r="I49" s="44" t="s">
        <v>51</v>
      </c>
      <c r="J49" s="6" t="s">
        <v>16</v>
      </c>
      <c r="K49" s="14" t="s">
        <v>16</v>
      </c>
    </row>
    <row r="50" spans="2:12" ht="15.75" x14ac:dyDescent="0.45">
      <c r="B50" s="13" t="s">
        <v>30</v>
      </c>
      <c r="C50" s="78" t="s">
        <v>61</v>
      </c>
      <c r="D50" s="78"/>
      <c r="E50" s="78"/>
      <c r="F50" s="78"/>
      <c r="G50" s="78"/>
      <c r="H50" s="78"/>
      <c r="I50" s="78"/>
      <c r="J50" s="78"/>
      <c r="K50" s="79"/>
      <c r="L50" s="80">
        <f>G54</f>
        <v>171.50666666666666</v>
      </c>
    </row>
    <row r="51" spans="2:12" x14ac:dyDescent="0.45">
      <c r="B51" s="13">
        <v>20000</v>
      </c>
      <c r="C51" s="8" t="s">
        <v>23</v>
      </c>
      <c r="D51" s="6">
        <v>1</v>
      </c>
      <c r="E51" s="42">
        <f t="shared" si="1"/>
        <v>5.2631578947368425</v>
      </c>
      <c r="F51" s="6">
        <v>979</v>
      </c>
      <c r="G51" s="7">
        <f>F51/E51</f>
        <v>186.01</v>
      </c>
      <c r="H51" s="6">
        <v>2019</v>
      </c>
      <c r="I51" s="44" t="s">
        <v>52</v>
      </c>
      <c r="J51" s="6" t="s">
        <v>16</v>
      </c>
      <c r="K51" s="14" t="s">
        <v>16</v>
      </c>
    </row>
    <row r="52" spans="2:12" x14ac:dyDescent="0.45">
      <c r="B52" s="45"/>
      <c r="C52" s="8" t="s">
        <v>24</v>
      </c>
      <c r="D52" s="6">
        <v>1</v>
      </c>
      <c r="E52" s="42">
        <f t="shared" si="1"/>
        <v>5.2631578947368425</v>
      </c>
      <c r="F52" s="6">
        <v>899</v>
      </c>
      <c r="G52" s="7">
        <f>F52/E52</f>
        <v>170.80999999999997</v>
      </c>
      <c r="H52" s="6">
        <v>2019</v>
      </c>
      <c r="I52" s="44" t="s">
        <v>53</v>
      </c>
      <c r="J52" s="6" t="s">
        <v>16</v>
      </c>
      <c r="K52" s="14" t="s">
        <v>16</v>
      </c>
    </row>
    <row r="53" spans="2:12" x14ac:dyDescent="0.45">
      <c r="B53" s="45"/>
      <c r="C53" s="8" t="s">
        <v>25</v>
      </c>
      <c r="D53" s="6">
        <v>1</v>
      </c>
      <c r="E53" s="42">
        <f t="shared" si="1"/>
        <v>5.2631578947368425</v>
      </c>
      <c r="F53" s="6">
        <v>830</v>
      </c>
      <c r="G53" s="7">
        <f>F53/E53</f>
        <v>157.69999999999999</v>
      </c>
      <c r="H53" s="6">
        <v>2019</v>
      </c>
      <c r="I53" s="44" t="s">
        <v>54</v>
      </c>
      <c r="J53" s="6" t="s">
        <v>16</v>
      </c>
      <c r="K53" s="14" t="s">
        <v>16</v>
      </c>
    </row>
    <row r="54" spans="2:12" ht="14.65" thickBot="1" x14ac:dyDescent="0.5">
      <c r="B54" s="46"/>
      <c r="C54" s="35" t="s">
        <v>27</v>
      </c>
      <c r="D54" s="32">
        <v>1</v>
      </c>
      <c r="E54" s="33">
        <f t="shared" si="1"/>
        <v>5.2631578947368425</v>
      </c>
      <c r="F54" s="34">
        <f>AVERAGE(F51:F53)</f>
        <v>902.66666666666663</v>
      </c>
      <c r="G54" s="34">
        <f>F54/E54</f>
        <v>171.50666666666666</v>
      </c>
      <c r="H54" s="16">
        <v>2019</v>
      </c>
      <c r="I54" s="47" t="s">
        <v>55</v>
      </c>
      <c r="J54" s="16" t="s">
        <v>16</v>
      </c>
      <c r="K54" s="19" t="s">
        <v>16</v>
      </c>
    </row>
    <row r="56" spans="2:12" x14ac:dyDescent="0.45">
      <c r="D56" s="54"/>
      <c r="E56" s="55"/>
      <c r="F56" s="1"/>
    </row>
    <row r="59" spans="2:12" ht="14.65" thickBot="1" x14ac:dyDescent="0.5"/>
    <row r="60" spans="2:12" x14ac:dyDescent="0.45">
      <c r="B60" s="70" t="s">
        <v>63</v>
      </c>
      <c r="C60" s="71"/>
      <c r="D60" s="71"/>
      <c r="E60" s="71"/>
      <c r="F60" s="71"/>
      <c r="G60" s="71"/>
      <c r="H60" s="72"/>
      <c r="I60" s="21"/>
    </row>
    <row r="61" spans="2:12" x14ac:dyDescent="0.45">
      <c r="B61" s="52" t="s">
        <v>22</v>
      </c>
      <c r="C61" s="53" t="s">
        <v>21</v>
      </c>
      <c r="D61" s="28" t="s">
        <v>64</v>
      </c>
      <c r="E61" s="28" t="s">
        <v>0</v>
      </c>
      <c r="F61" s="28" t="s">
        <v>1</v>
      </c>
      <c r="G61" s="28" t="s">
        <v>65</v>
      </c>
      <c r="H61" s="31" t="s">
        <v>66</v>
      </c>
    </row>
    <row r="62" spans="2:12" x14ac:dyDescent="0.45">
      <c r="B62" s="13">
        <v>0.02</v>
      </c>
      <c r="C62" s="7">
        <v>20</v>
      </c>
      <c r="D62" s="6">
        <v>1019</v>
      </c>
      <c r="E62" s="6">
        <v>2017</v>
      </c>
      <c r="F62" s="8" t="s">
        <v>14</v>
      </c>
      <c r="G62" s="6" t="s">
        <v>16</v>
      </c>
      <c r="H62" s="14" t="s">
        <v>16</v>
      </c>
    </row>
    <row r="63" spans="2:12" x14ac:dyDescent="0.45">
      <c r="B63" s="13">
        <v>5</v>
      </c>
      <c r="C63" s="7">
        <v>5000</v>
      </c>
      <c r="D63" s="6">
        <v>445</v>
      </c>
      <c r="E63" s="6">
        <v>2017</v>
      </c>
      <c r="F63" s="8" t="s">
        <v>15</v>
      </c>
      <c r="G63" s="6" t="s">
        <v>16</v>
      </c>
      <c r="H63" s="14" t="s">
        <v>16</v>
      </c>
    </row>
    <row r="64" spans="2:12" x14ac:dyDescent="0.45">
      <c r="B64" s="13">
        <v>1.2E-2</v>
      </c>
      <c r="C64" s="7">
        <v>12</v>
      </c>
      <c r="D64" s="6">
        <v>1721</v>
      </c>
      <c r="E64" s="6">
        <v>2017</v>
      </c>
      <c r="F64" s="8" t="s">
        <v>17</v>
      </c>
      <c r="G64" s="6" t="s">
        <v>16</v>
      </c>
      <c r="H64" s="14" t="s">
        <v>16</v>
      </c>
    </row>
    <row r="65" spans="2:9" x14ac:dyDescent="0.45">
      <c r="B65" s="13">
        <v>1</v>
      </c>
      <c r="C65" s="6">
        <f t="shared" ref="C65:C70" si="2">B65*1000</f>
        <v>1000</v>
      </c>
      <c r="D65" s="7">
        <f t="shared" ref="D65:D70" si="3">0.7*(B65^(-0.3))*1000</f>
        <v>700</v>
      </c>
      <c r="E65" s="6">
        <v>2017</v>
      </c>
      <c r="F65" s="8" t="s">
        <v>19</v>
      </c>
      <c r="G65" s="6">
        <v>9</v>
      </c>
      <c r="H65" s="14">
        <v>7.0000000000000001E-3</v>
      </c>
    </row>
    <row r="66" spans="2:9" x14ac:dyDescent="0.45">
      <c r="B66" s="13">
        <v>2</v>
      </c>
      <c r="C66" s="6">
        <f t="shared" si="2"/>
        <v>2000</v>
      </c>
      <c r="D66" s="7">
        <f t="shared" si="3"/>
        <v>568.57667744936475</v>
      </c>
      <c r="E66" s="6">
        <v>2017</v>
      </c>
      <c r="F66" s="8" t="s">
        <v>19</v>
      </c>
      <c r="G66" s="6">
        <v>9</v>
      </c>
      <c r="H66" s="14">
        <v>7.0000000000000001E-3</v>
      </c>
    </row>
    <row r="67" spans="2:9" x14ac:dyDescent="0.45">
      <c r="B67" s="13">
        <v>3</v>
      </c>
      <c r="C67" s="6">
        <f t="shared" si="2"/>
        <v>3000</v>
      </c>
      <c r="D67" s="7">
        <f t="shared" si="3"/>
        <v>503.45616532740513</v>
      </c>
      <c r="E67" s="6">
        <v>2017</v>
      </c>
      <c r="F67" s="8" t="s">
        <v>19</v>
      </c>
      <c r="G67" s="6">
        <v>9</v>
      </c>
      <c r="H67" s="14">
        <v>7.0000000000000001E-3</v>
      </c>
    </row>
    <row r="68" spans="2:9" x14ac:dyDescent="0.45">
      <c r="B68" s="13">
        <v>5</v>
      </c>
      <c r="C68" s="6">
        <f t="shared" si="2"/>
        <v>5000</v>
      </c>
      <c r="D68" s="7">
        <f t="shared" si="3"/>
        <v>431.92370390400669</v>
      </c>
      <c r="E68" s="6">
        <v>2017</v>
      </c>
      <c r="F68" s="8" t="s">
        <v>19</v>
      </c>
      <c r="G68" s="6">
        <v>9</v>
      </c>
      <c r="H68" s="14">
        <v>7.0000000000000001E-3</v>
      </c>
    </row>
    <row r="69" spans="2:9" x14ac:dyDescent="0.45">
      <c r="B69" s="13">
        <v>7</v>
      </c>
      <c r="C69" s="6">
        <f t="shared" si="2"/>
        <v>7000</v>
      </c>
      <c r="D69" s="7">
        <f t="shared" si="3"/>
        <v>390.4528777122722</v>
      </c>
      <c r="E69" s="6">
        <v>2017</v>
      </c>
      <c r="F69" s="8" t="s">
        <v>19</v>
      </c>
      <c r="G69" s="6">
        <v>9</v>
      </c>
      <c r="H69" s="14">
        <v>7.0000000000000001E-3</v>
      </c>
    </row>
    <row r="70" spans="2:9" x14ac:dyDescent="0.45">
      <c r="B70" s="13">
        <v>10</v>
      </c>
      <c r="C70" s="6">
        <f t="shared" si="2"/>
        <v>10000</v>
      </c>
      <c r="D70" s="7">
        <f t="shared" si="3"/>
        <v>350.83106353909056</v>
      </c>
      <c r="E70" s="6">
        <v>2017</v>
      </c>
      <c r="F70" s="8" t="s">
        <v>19</v>
      </c>
      <c r="G70" s="6">
        <v>9</v>
      </c>
      <c r="H70" s="14">
        <v>7.0000000000000001E-3</v>
      </c>
    </row>
    <row r="71" spans="2:9" x14ac:dyDescent="0.45">
      <c r="B71" s="13">
        <v>1</v>
      </c>
      <c r="C71" s="6">
        <v>1000</v>
      </c>
      <c r="D71" s="6">
        <v>950</v>
      </c>
      <c r="E71" s="6">
        <v>2020</v>
      </c>
      <c r="F71" s="8" t="s">
        <v>12</v>
      </c>
      <c r="G71" s="6">
        <v>9.75</v>
      </c>
      <c r="H71" s="14">
        <v>5.0000000000000001E-3</v>
      </c>
    </row>
    <row r="72" spans="2:9" x14ac:dyDescent="0.45">
      <c r="B72" s="13">
        <v>0.1</v>
      </c>
      <c r="C72" s="6">
        <v>100</v>
      </c>
      <c r="D72" s="6">
        <v>1370</v>
      </c>
      <c r="E72" s="6">
        <v>2014</v>
      </c>
      <c r="F72" s="8" t="s">
        <v>13</v>
      </c>
      <c r="G72" s="6" t="s">
        <v>16</v>
      </c>
      <c r="H72" s="14" t="s">
        <v>16</v>
      </c>
    </row>
    <row r="73" spans="2:9" x14ac:dyDescent="0.45">
      <c r="B73" s="13">
        <v>1</v>
      </c>
      <c r="C73" s="6">
        <v>1000</v>
      </c>
      <c r="D73" s="6">
        <v>1000</v>
      </c>
      <c r="E73" s="6">
        <v>2014</v>
      </c>
      <c r="F73" s="8" t="s">
        <v>13</v>
      </c>
      <c r="G73" s="6" t="s">
        <v>16</v>
      </c>
      <c r="H73" s="14" t="s">
        <v>16</v>
      </c>
    </row>
    <row r="74" spans="2:9" ht="14.65" thickBot="1" x14ac:dyDescent="0.5">
      <c r="B74" s="15">
        <v>10</v>
      </c>
      <c r="C74" s="16">
        <v>10000</v>
      </c>
      <c r="D74" s="16">
        <v>493</v>
      </c>
      <c r="E74" s="16">
        <v>2014</v>
      </c>
      <c r="F74" s="18" t="s">
        <v>13</v>
      </c>
      <c r="G74" s="16" t="s">
        <v>16</v>
      </c>
      <c r="H74" s="19" t="s">
        <v>16</v>
      </c>
    </row>
    <row r="75" spans="2:9" x14ac:dyDescent="0.45">
      <c r="C75" s="48"/>
      <c r="D75" s="48"/>
      <c r="E75" s="3"/>
      <c r="F75" s="3"/>
      <c r="G75" s="2"/>
    </row>
    <row r="76" spans="2:9" x14ac:dyDescent="0.45">
      <c r="C76" s="48"/>
      <c r="D76" s="48"/>
      <c r="E76" s="3"/>
      <c r="F76" s="3"/>
      <c r="G76" s="2"/>
    </row>
    <row r="77" spans="2:9" x14ac:dyDescent="0.45">
      <c r="C77" s="48"/>
      <c r="D77" s="48"/>
      <c r="E77" s="3"/>
      <c r="F77" s="3"/>
      <c r="G77" s="2"/>
    </row>
    <row r="78" spans="2:9" x14ac:dyDescent="0.45">
      <c r="C78" s="48"/>
      <c r="D78" s="48"/>
      <c r="E78" s="3"/>
      <c r="F78" s="3"/>
      <c r="G78" s="2"/>
    </row>
    <row r="79" spans="2:9" ht="14.65" thickBot="1" x14ac:dyDescent="0.5">
      <c r="C79" s="48"/>
      <c r="D79" s="48"/>
      <c r="E79" s="3"/>
      <c r="F79" s="3"/>
      <c r="G79" s="2"/>
    </row>
    <row r="80" spans="2:9" x14ac:dyDescent="0.45">
      <c r="B80" s="67" t="s">
        <v>67</v>
      </c>
      <c r="C80" s="68"/>
      <c r="D80" s="68"/>
      <c r="E80" s="68"/>
      <c r="F80" s="68"/>
      <c r="G80" s="68"/>
      <c r="H80" s="69"/>
      <c r="I80" s="21"/>
    </row>
    <row r="81" spans="2:10" x14ac:dyDescent="0.45">
      <c r="B81" s="52" t="s">
        <v>22</v>
      </c>
      <c r="C81" s="53" t="s">
        <v>21</v>
      </c>
      <c r="D81" s="28" t="s">
        <v>64</v>
      </c>
      <c r="E81" s="28" t="s">
        <v>0</v>
      </c>
      <c r="F81" s="29" t="s">
        <v>1</v>
      </c>
      <c r="G81" s="29" t="s">
        <v>10</v>
      </c>
      <c r="H81" s="30" t="s">
        <v>11</v>
      </c>
    </row>
    <row r="82" spans="2:10" x14ac:dyDescent="0.45">
      <c r="B82" s="13">
        <v>0.01</v>
      </c>
      <c r="C82" s="6">
        <v>10</v>
      </c>
      <c r="D82" s="6">
        <f>9400/C82</f>
        <v>940</v>
      </c>
      <c r="E82" s="6">
        <v>2020</v>
      </c>
      <c r="F82" s="8" t="s">
        <v>62</v>
      </c>
      <c r="G82" s="6" t="s">
        <v>16</v>
      </c>
      <c r="H82" s="14" t="s">
        <v>16</v>
      </c>
    </row>
    <row r="83" spans="2:10" x14ac:dyDescent="0.45">
      <c r="B83" s="13">
        <v>1.4999999999999999E-2</v>
      </c>
      <c r="C83" s="6">
        <v>15</v>
      </c>
      <c r="D83" s="6">
        <f>12000/C83</f>
        <v>800</v>
      </c>
      <c r="E83" s="6">
        <v>2020</v>
      </c>
      <c r="F83" s="8" t="s">
        <v>62</v>
      </c>
      <c r="G83" s="6" t="s">
        <v>16</v>
      </c>
      <c r="H83" s="14" t="s">
        <v>16</v>
      </c>
    </row>
    <row r="84" spans="2:10" x14ac:dyDescent="0.45">
      <c r="B84" s="13">
        <v>4</v>
      </c>
      <c r="C84" s="6">
        <v>4000</v>
      </c>
      <c r="D84" s="6">
        <v>660</v>
      </c>
      <c r="E84" s="6">
        <v>2020</v>
      </c>
      <c r="F84" s="8" t="s">
        <v>12</v>
      </c>
      <c r="G84" s="6">
        <v>2</v>
      </c>
      <c r="H84" s="14">
        <v>1.8E-3</v>
      </c>
    </row>
    <row r="85" spans="2:10" x14ac:dyDescent="0.45">
      <c r="B85" s="13">
        <v>0.01</v>
      </c>
      <c r="C85" s="6">
        <v>10</v>
      </c>
      <c r="D85" s="6">
        <f>(11000/C85)</f>
        <v>1100</v>
      </c>
      <c r="E85" s="6">
        <v>2017</v>
      </c>
      <c r="F85" s="8" t="s">
        <v>17</v>
      </c>
      <c r="G85" s="6" t="s">
        <v>68</v>
      </c>
      <c r="H85" s="14">
        <v>0</v>
      </c>
    </row>
    <row r="86" spans="2:10" x14ac:dyDescent="0.45">
      <c r="B86" s="13">
        <v>0.02</v>
      </c>
      <c r="C86" s="6">
        <v>20</v>
      </c>
      <c r="D86" s="7">
        <f>(15389/C86)</f>
        <v>769.45</v>
      </c>
      <c r="E86" s="6">
        <v>2017</v>
      </c>
      <c r="F86" s="8" t="s">
        <v>17</v>
      </c>
      <c r="G86" s="6" t="s">
        <v>69</v>
      </c>
      <c r="H86" s="14">
        <v>0</v>
      </c>
    </row>
    <row r="87" spans="2:10" x14ac:dyDescent="0.45">
      <c r="B87" s="13">
        <v>0.75</v>
      </c>
      <c r="C87" s="6">
        <v>750</v>
      </c>
      <c r="D87" s="7">
        <f>(600000/C87)</f>
        <v>800</v>
      </c>
      <c r="E87" s="6">
        <v>2017</v>
      </c>
      <c r="F87" s="8" t="s">
        <v>17</v>
      </c>
      <c r="G87" s="6" t="s">
        <v>70</v>
      </c>
      <c r="H87" s="14">
        <v>0</v>
      </c>
    </row>
    <row r="88" spans="2:10" x14ac:dyDescent="0.45">
      <c r="B88" s="13">
        <v>1</v>
      </c>
      <c r="C88" s="6">
        <v>1000</v>
      </c>
      <c r="D88" s="56">
        <f>(0.7816*(B88^(-0.122)))*1000</f>
        <v>781.59999999999991</v>
      </c>
      <c r="E88" s="6">
        <v>2020</v>
      </c>
      <c r="F88" s="8" t="s">
        <v>19</v>
      </c>
      <c r="G88" s="6">
        <v>3</v>
      </c>
      <c r="H88" s="14">
        <v>1.8E-3</v>
      </c>
      <c r="I88" s="40"/>
      <c r="J88" s="40"/>
    </row>
    <row r="89" spans="2:10" x14ac:dyDescent="0.45">
      <c r="B89" s="13">
        <v>2</v>
      </c>
      <c r="C89" s="6">
        <v>2000</v>
      </c>
      <c r="D89" s="56">
        <f t="shared" ref="D89:D91" si="4">(0.7816*(B89^(-0.122)))*1000</f>
        <v>718.22230972722548</v>
      </c>
      <c r="E89" s="6">
        <v>2020</v>
      </c>
      <c r="F89" s="8" t="s">
        <v>19</v>
      </c>
      <c r="G89" s="6">
        <v>3</v>
      </c>
      <c r="H89" s="14">
        <v>1.8E-3</v>
      </c>
      <c r="I89" s="40"/>
      <c r="J89" s="40"/>
    </row>
    <row r="90" spans="2:10" x14ac:dyDescent="0.45">
      <c r="B90" s="13">
        <v>5</v>
      </c>
      <c r="C90" s="6">
        <v>5000</v>
      </c>
      <c r="D90" s="56">
        <f t="shared" si="4"/>
        <v>642.25901688183103</v>
      </c>
      <c r="E90" s="6">
        <v>2020</v>
      </c>
      <c r="F90" s="8" t="s">
        <v>19</v>
      </c>
      <c r="G90" s="6">
        <v>3</v>
      </c>
      <c r="H90" s="14">
        <v>1.8E-3</v>
      </c>
    </row>
    <row r="91" spans="2:10" ht="14.65" thickBot="1" x14ac:dyDescent="0.5">
      <c r="B91" s="15">
        <v>10</v>
      </c>
      <c r="C91" s="16">
        <v>10000</v>
      </c>
      <c r="D91" s="57">
        <f t="shared" si="4"/>
        <v>590.18008514330302</v>
      </c>
      <c r="E91" s="16">
        <v>2020</v>
      </c>
      <c r="F91" s="18" t="s">
        <v>19</v>
      </c>
      <c r="G91" s="16">
        <v>3</v>
      </c>
      <c r="H91" s="19">
        <v>1.8E-3</v>
      </c>
    </row>
    <row r="93" spans="2:10" ht="14.65" thickBot="1" x14ac:dyDescent="0.5"/>
    <row r="94" spans="2:10" x14ac:dyDescent="0.45">
      <c r="B94" s="73" t="s">
        <v>71</v>
      </c>
      <c r="C94" s="74"/>
      <c r="D94" s="74"/>
      <c r="E94" s="74"/>
      <c r="F94" s="74"/>
      <c r="G94" s="74"/>
      <c r="H94" s="75"/>
    </row>
    <row r="95" spans="2:10" x14ac:dyDescent="0.45">
      <c r="B95" s="52" t="s">
        <v>22</v>
      </c>
      <c r="C95" s="53" t="s">
        <v>21</v>
      </c>
      <c r="D95" s="28" t="s">
        <v>64</v>
      </c>
      <c r="E95" s="28" t="s">
        <v>0</v>
      </c>
      <c r="F95" s="28" t="s">
        <v>1</v>
      </c>
      <c r="G95" s="28" t="s">
        <v>10</v>
      </c>
      <c r="H95" s="31" t="s">
        <v>11</v>
      </c>
    </row>
    <row r="96" spans="2:10" x14ac:dyDescent="0.45">
      <c r="B96" s="45">
        <v>0.5</v>
      </c>
      <c r="C96" s="7">
        <v>500</v>
      </c>
      <c r="D96" s="6">
        <v>130</v>
      </c>
      <c r="E96" s="6">
        <v>2012</v>
      </c>
      <c r="F96" s="8" t="s">
        <v>9</v>
      </c>
      <c r="G96" s="59" t="s">
        <v>16</v>
      </c>
      <c r="H96" s="14" t="s">
        <v>16</v>
      </c>
    </row>
    <row r="97" spans="2:8" x14ac:dyDescent="0.45">
      <c r="B97" s="45">
        <v>10</v>
      </c>
      <c r="C97" s="7">
        <v>10000</v>
      </c>
      <c r="D97" s="6">
        <v>70</v>
      </c>
      <c r="E97" s="6">
        <v>2012</v>
      </c>
      <c r="F97" s="8" t="s">
        <v>9</v>
      </c>
      <c r="G97" s="6" t="s">
        <v>16</v>
      </c>
      <c r="H97" s="14" t="s">
        <v>16</v>
      </c>
    </row>
    <row r="98" spans="2:8" x14ac:dyDescent="0.45">
      <c r="B98" s="60">
        <v>0.01</v>
      </c>
      <c r="C98" s="61">
        <v>10</v>
      </c>
      <c r="D98" s="61">
        <f>3100/C98</f>
        <v>310</v>
      </c>
      <c r="E98" s="54">
        <v>2020</v>
      </c>
      <c r="F98" s="58" t="s">
        <v>62</v>
      </c>
      <c r="G98" s="54">
        <f>205/10</f>
        <v>20.5</v>
      </c>
      <c r="H98" s="62" t="s">
        <v>16</v>
      </c>
    </row>
    <row r="99" spans="2:8" x14ac:dyDescent="0.45">
      <c r="B99" s="60">
        <v>0.16</v>
      </c>
      <c r="C99" s="61">
        <v>160</v>
      </c>
      <c r="D99" s="61">
        <f>17600/C99</f>
        <v>110</v>
      </c>
      <c r="E99" s="54">
        <v>2020</v>
      </c>
      <c r="F99" s="58" t="s">
        <v>62</v>
      </c>
      <c r="G99" s="54">
        <f>438/C99</f>
        <v>2.7374999999999998</v>
      </c>
      <c r="H99" s="62" t="s">
        <v>16</v>
      </c>
    </row>
    <row r="100" spans="2:8" x14ac:dyDescent="0.45">
      <c r="B100" s="60">
        <v>3</v>
      </c>
      <c r="C100" s="61">
        <v>3000</v>
      </c>
      <c r="D100" s="54">
        <f>0.06*1000</f>
        <v>60</v>
      </c>
      <c r="E100" s="54">
        <v>2020</v>
      </c>
      <c r="F100" s="58" t="s">
        <v>12</v>
      </c>
      <c r="G100" s="54">
        <v>1.95</v>
      </c>
      <c r="H100" s="62">
        <v>1E-3</v>
      </c>
    </row>
    <row r="101" spans="2:8" x14ac:dyDescent="0.45">
      <c r="B101" s="45">
        <v>2.5000000000000001E-2</v>
      </c>
      <c r="C101" s="7">
        <v>25</v>
      </c>
      <c r="D101" s="6">
        <v>172</v>
      </c>
      <c r="E101" s="6">
        <v>2017</v>
      </c>
      <c r="F101" s="8" t="s">
        <v>17</v>
      </c>
      <c r="G101" s="6" t="s">
        <v>16</v>
      </c>
      <c r="H101" s="14" t="s">
        <v>16</v>
      </c>
    </row>
    <row r="102" spans="2:8" x14ac:dyDescent="0.45">
      <c r="B102" s="23">
        <v>1</v>
      </c>
      <c r="C102" s="7">
        <v>1000</v>
      </c>
      <c r="D102" s="7">
        <f>(0.17*B102^(-0.15))*1000</f>
        <v>170</v>
      </c>
      <c r="E102" s="6">
        <v>2017</v>
      </c>
      <c r="F102" s="8" t="s">
        <v>19</v>
      </c>
      <c r="G102" s="6">
        <v>3</v>
      </c>
      <c r="H102" s="14">
        <v>5.0000000000000001E-4</v>
      </c>
    </row>
    <row r="103" spans="2:8" x14ac:dyDescent="0.45">
      <c r="B103" s="23">
        <v>5</v>
      </c>
      <c r="C103" s="7">
        <v>5000</v>
      </c>
      <c r="D103" s="7">
        <f>(0.17*B103^(-0.15))*1000*0.64</f>
        <v>85.464035289215971</v>
      </c>
      <c r="E103" s="6">
        <v>2017</v>
      </c>
      <c r="F103" s="8" t="s">
        <v>19</v>
      </c>
      <c r="G103" s="6">
        <v>3</v>
      </c>
      <c r="H103" s="14">
        <v>5.0000000000000001E-4</v>
      </c>
    </row>
    <row r="104" spans="2:8" x14ac:dyDescent="0.45">
      <c r="B104" s="23">
        <v>10</v>
      </c>
      <c r="C104" s="7">
        <v>10000</v>
      </c>
      <c r="D104" s="7">
        <f>(0.17*B104^(-0.15))*1000*0.64</f>
        <v>77.024501340994206</v>
      </c>
      <c r="E104" s="6">
        <v>2017</v>
      </c>
      <c r="F104" s="8" t="s">
        <v>19</v>
      </c>
      <c r="G104" s="6">
        <v>3</v>
      </c>
      <c r="H104" s="14">
        <v>5.0000000000000001E-4</v>
      </c>
    </row>
    <row r="105" spans="2:8" x14ac:dyDescent="0.45">
      <c r="B105" s="23">
        <v>20</v>
      </c>
      <c r="C105" s="7">
        <v>20000</v>
      </c>
      <c r="D105" s="7">
        <f>(0.17*B105^(-0.15))*1000*0.64</f>
        <v>69.418367465939554</v>
      </c>
      <c r="E105" s="6">
        <v>2017</v>
      </c>
      <c r="F105" s="8" t="s">
        <v>19</v>
      </c>
      <c r="G105" s="6">
        <v>3</v>
      </c>
      <c r="H105" s="14">
        <v>5.0000000000000001E-4</v>
      </c>
    </row>
    <row r="106" spans="2:8" ht="14.65" thickBot="1" x14ac:dyDescent="0.5">
      <c r="B106" s="63">
        <v>30</v>
      </c>
      <c r="C106" s="17">
        <v>30000</v>
      </c>
      <c r="D106" s="17">
        <f>(0.17*B106^(-0.15))*1000*0.64</f>
        <v>65.322185583032606</v>
      </c>
      <c r="E106" s="16">
        <v>2017</v>
      </c>
      <c r="F106" s="18" t="s">
        <v>19</v>
      </c>
      <c r="G106" s="16">
        <v>3</v>
      </c>
      <c r="H106" s="19">
        <v>5.0000000000000001E-4</v>
      </c>
    </row>
    <row r="115" spans="2:9" ht="14.65" thickBot="1" x14ac:dyDescent="0.5"/>
    <row r="116" spans="2:9" x14ac:dyDescent="0.45">
      <c r="B116" s="70" t="s">
        <v>74</v>
      </c>
      <c r="C116" s="71"/>
      <c r="D116" s="71"/>
      <c r="E116" s="71"/>
      <c r="F116" s="71"/>
      <c r="G116" s="72"/>
    </row>
    <row r="117" spans="2:9" ht="15.75" x14ac:dyDescent="0.45">
      <c r="B117" s="65" t="s">
        <v>36</v>
      </c>
      <c r="C117" s="28" t="s">
        <v>76</v>
      </c>
      <c r="D117" s="28" t="s">
        <v>20</v>
      </c>
      <c r="E117" s="66" t="s">
        <v>72</v>
      </c>
      <c r="F117" s="28" t="s">
        <v>0</v>
      </c>
      <c r="G117" s="31" t="s">
        <v>1</v>
      </c>
      <c r="I117" s="6"/>
    </row>
    <row r="118" spans="2:9" ht="15.75" x14ac:dyDescent="0.45">
      <c r="B118" s="45" t="s">
        <v>75</v>
      </c>
      <c r="C118" s="5">
        <v>100</v>
      </c>
      <c r="D118" s="7">
        <v>116.16666666666669</v>
      </c>
      <c r="E118" s="56">
        <v>24.964131994261116</v>
      </c>
      <c r="F118" s="6">
        <v>2017</v>
      </c>
      <c r="G118" s="43" t="s">
        <v>17</v>
      </c>
    </row>
    <row r="119" spans="2:9" ht="15.75" x14ac:dyDescent="0.45">
      <c r="B119" s="45" t="s">
        <v>73</v>
      </c>
      <c r="C119" s="5">
        <v>50000</v>
      </c>
      <c r="D119" s="7">
        <v>3000</v>
      </c>
      <c r="E119" s="7">
        <v>11.2105</v>
      </c>
      <c r="F119" s="6">
        <v>2017</v>
      </c>
      <c r="G119" s="43" t="s">
        <v>19</v>
      </c>
    </row>
    <row r="120" spans="2:9" ht="14.65" thickBot="1" x14ac:dyDescent="0.5">
      <c r="B120" s="46" t="s">
        <v>18</v>
      </c>
      <c r="C120" s="4"/>
      <c r="D120" s="16"/>
      <c r="E120" s="18"/>
      <c r="F120" s="18"/>
      <c r="G120" s="64"/>
    </row>
  </sheetData>
  <mergeCells count="10">
    <mergeCell ref="B116:G116"/>
    <mergeCell ref="B36:K36"/>
    <mergeCell ref="C37:K37"/>
    <mergeCell ref="C44:K44"/>
    <mergeCell ref="C50:K50"/>
    <mergeCell ref="B16:G16"/>
    <mergeCell ref="B1:H1"/>
    <mergeCell ref="B60:H60"/>
    <mergeCell ref="B80:H80"/>
    <mergeCell ref="B94:H9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hilal bahlawan</dc:creator>
  <cp:lastModifiedBy>Pier Ruggero Spina</cp:lastModifiedBy>
  <dcterms:created xsi:type="dcterms:W3CDTF">2021-03-16T08:20:31Z</dcterms:created>
  <dcterms:modified xsi:type="dcterms:W3CDTF">2021-04-13T16:06:32Z</dcterms:modified>
</cp:coreProperties>
</file>