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75" windowWidth="11115" windowHeight="7170" activeTab="0"/>
  </bookViews>
  <sheets>
    <sheet name="Isentropico" sheetId="1" r:id="rId1"/>
    <sheet name="AdiabaticoIrreversibile_1" sheetId="2" r:id="rId2"/>
    <sheet name="AdiabaticoIrreversibile_2" sheetId="3" r:id="rId3"/>
  </sheets>
  <definedNames>
    <definedName name="_xlnm.Print_Area" localSheetId="1">'AdiabaticoIrreversibile_1'!$A$1:$H$92</definedName>
    <definedName name="_xlnm.Print_Area" localSheetId="0">'Isentropico'!$A$1:$H$62</definedName>
    <definedName name="solver_adj" localSheetId="1" hidden="1">'AdiabaticoIrreversibile_1'!#REF!</definedName>
    <definedName name="solver_adj" localSheetId="0" hidden="1">'Isentropico'!$C$68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'AdiabaticoIrreversibile_1'!#REF!</definedName>
    <definedName name="solver_opt" localSheetId="0" hidden="1">'Isentropico'!$D$67</definedName>
    <definedName name="solver_pre" localSheetId="1" hidden="1">0.000001</definedName>
    <definedName name="solver_pre" localSheetId="0" hidden="1">0.000001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3</definedName>
    <definedName name="solver_typ" localSheetId="0" hidden="1">3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<sst xmlns="http://schemas.openxmlformats.org/spreadsheetml/2006/main" count="241" uniqueCount="66">
  <si>
    <t>kg/s</t>
  </si>
  <si>
    <t>°C</t>
  </si>
  <si>
    <t>K</t>
  </si>
  <si>
    <t>Pa</t>
  </si>
  <si>
    <t>kJ/(kg K)</t>
  </si>
  <si>
    <t>cp</t>
  </si>
  <si>
    <t>g</t>
  </si>
  <si>
    <t>Valori calcolati</t>
  </si>
  <si>
    <t>pi</t>
  </si>
  <si>
    <t>bar</t>
  </si>
  <si>
    <t>R</t>
  </si>
  <si>
    <t>J/(kg K)</t>
  </si>
  <si>
    <t>Ti</t>
  </si>
  <si>
    <t>pu</t>
  </si>
  <si>
    <t>Vi</t>
  </si>
  <si>
    <t>m/s</t>
  </si>
  <si>
    <t>(Vi)s</t>
  </si>
  <si>
    <t>Mai</t>
  </si>
  <si>
    <t>M</t>
  </si>
  <si>
    <t>To</t>
  </si>
  <si>
    <t>g - 1</t>
  </si>
  <si>
    <t>po</t>
  </si>
  <si>
    <t>Acr</t>
  </si>
  <si>
    <t>pu/po</t>
  </si>
  <si>
    <t>(p/po)cr</t>
  </si>
  <si>
    <r>
      <t>m</t>
    </r>
    <r>
      <rPr>
        <vertAlign val="superscript"/>
        <sz val="10"/>
        <rFont val="Arial"/>
        <family val="2"/>
      </rPr>
      <t>2</t>
    </r>
  </si>
  <si>
    <t>Mau</t>
  </si>
  <si>
    <t>Au/Acr</t>
  </si>
  <si>
    <t>Au</t>
  </si>
  <si>
    <t>DIMENSIONAMENTO UGELLO</t>
  </si>
  <si>
    <t>Tu</t>
  </si>
  <si>
    <t>(Vu)s</t>
  </si>
  <si>
    <t>Vu</t>
  </si>
  <si>
    <t>Dati</t>
  </si>
  <si>
    <t>Ai</t>
  </si>
  <si>
    <r>
      <t xml:space="preserve">Isentropico (n = </t>
    </r>
    <r>
      <rPr>
        <b/>
        <sz val="10"/>
        <rFont val="Times New Roman"/>
        <family val="1"/>
      </rPr>
      <t>γ</t>
    </r>
    <r>
      <rPr>
        <b/>
        <sz val="10"/>
        <rFont val="Symbol"/>
        <family val="1"/>
      </rPr>
      <t>)</t>
    </r>
  </si>
  <si>
    <r>
      <t>n = n</t>
    </r>
    <r>
      <rPr>
        <b/>
        <vertAlign val="subscript"/>
        <sz val="10"/>
        <rFont val="Arial"/>
        <family val="2"/>
      </rPr>
      <t>1</t>
    </r>
  </si>
  <si>
    <r>
      <t>n = n</t>
    </r>
    <r>
      <rPr>
        <b/>
        <vertAlign val="subscript"/>
        <sz val="10"/>
        <rFont val="Arial"/>
        <family val="2"/>
      </rPr>
      <t>2</t>
    </r>
  </si>
  <si>
    <t>g + 1</t>
  </si>
  <si>
    <t>n + 1</t>
  </si>
  <si>
    <r>
      <t>n</t>
    </r>
    <r>
      <rPr>
        <sz val="10"/>
        <rFont val="Symbol"/>
        <family val="1"/>
      </rPr>
      <t xml:space="preserve"> - </t>
    </r>
    <r>
      <rPr>
        <sz val="10"/>
        <rFont val="Arial"/>
        <family val="2"/>
      </rPr>
      <t>1</t>
    </r>
  </si>
  <si>
    <t>Toi</t>
  </si>
  <si>
    <t>poi</t>
  </si>
  <si>
    <t>pu/poi</t>
  </si>
  <si>
    <t>(p/poi)cr_s</t>
  </si>
  <si>
    <t>pu/pi</t>
  </si>
  <si>
    <t>(p/poi)cr_n</t>
  </si>
  <si>
    <r>
      <rPr>
        <sz val="10"/>
        <rFont val="Symbol"/>
        <family val="1"/>
      </rPr>
      <t>h</t>
    </r>
    <r>
      <rPr>
        <sz val="10"/>
        <rFont val="Arial"/>
        <family val="2"/>
      </rPr>
      <t>pe</t>
    </r>
  </si>
  <si>
    <t>Vcr</t>
  </si>
  <si>
    <t>Macr</t>
  </si>
  <si>
    <r>
      <t>(p/poi)cr_n - Mai=((n-1)/(</t>
    </r>
    <r>
      <rPr>
        <sz val="10"/>
        <rFont val="Symbol"/>
        <family val="1"/>
      </rPr>
      <t>g</t>
    </r>
    <r>
      <rPr>
        <sz val="10"/>
        <rFont val="Arial"/>
        <family val="2"/>
      </rPr>
      <t>-1))^0.5</t>
    </r>
  </si>
  <si>
    <t>(p/poi)cr_n - Mai=0</t>
  </si>
  <si>
    <t>(p/poi)Ma=1_n - Mai=0</t>
  </si>
  <si>
    <r>
      <t>(p/poi)Ma=1_n - Mai=((n-1)/(</t>
    </r>
    <r>
      <rPr>
        <sz val="10"/>
        <rFont val="Symbol"/>
        <family val="1"/>
      </rPr>
      <t>g</t>
    </r>
    <r>
      <rPr>
        <sz val="10"/>
        <rFont val="Arial"/>
        <family val="2"/>
      </rPr>
      <t>-1))^0.5</t>
    </r>
  </si>
  <si>
    <t>(p/poi)Ma=1_n</t>
  </si>
  <si>
    <t>Acr_n/Acr_s</t>
  </si>
  <si>
    <t>Acr_n/Acr_s - Mai=0</t>
  </si>
  <si>
    <r>
      <t>Acr_n/Acr_s - Mai=((n-1)/(</t>
    </r>
    <r>
      <rPr>
        <sz val="10"/>
        <rFont val="Symbol"/>
        <family val="1"/>
      </rPr>
      <t>g</t>
    </r>
    <r>
      <rPr>
        <sz val="10"/>
        <rFont val="Arial"/>
        <family val="2"/>
      </rPr>
      <t>-1))^0.5</t>
    </r>
  </si>
  <si>
    <r>
      <t>A</t>
    </r>
    <r>
      <rPr>
        <vertAlign val="subscript"/>
        <sz val="10"/>
        <rFont val="Arial"/>
        <family val="2"/>
      </rPr>
      <t>Ma=1_n</t>
    </r>
    <r>
      <rPr>
        <sz val="10"/>
        <rFont val="Arial"/>
        <family val="2"/>
      </rPr>
      <t>/Acr_n</t>
    </r>
  </si>
  <si>
    <r>
      <t>A</t>
    </r>
    <r>
      <rPr>
        <vertAlign val="subscript"/>
        <sz val="10"/>
        <rFont val="Arial"/>
        <family val="2"/>
      </rPr>
      <t>Ma=1_n</t>
    </r>
    <r>
      <rPr>
        <sz val="10"/>
        <rFont val="Arial"/>
        <family val="2"/>
      </rPr>
      <t>/Acr_s</t>
    </r>
  </si>
  <si>
    <r>
      <t>A</t>
    </r>
    <r>
      <rPr>
        <vertAlign val="subscript"/>
        <sz val="10"/>
        <rFont val="Arial"/>
        <family val="2"/>
      </rPr>
      <t>Ma=1_n</t>
    </r>
    <r>
      <rPr>
        <sz val="10"/>
        <rFont val="Arial"/>
        <family val="2"/>
      </rPr>
      <t>/Acr_s - Mai=0</t>
    </r>
  </si>
  <si>
    <r>
      <t>A</t>
    </r>
    <r>
      <rPr>
        <vertAlign val="subscript"/>
        <sz val="10"/>
        <rFont val="Arial"/>
        <family val="2"/>
      </rPr>
      <t>Ma=1_n</t>
    </r>
    <r>
      <rPr>
        <sz val="10"/>
        <rFont val="Arial"/>
        <family val="2"/>
      </rPr>
      <t>/Acr_s - Mai=((n-1)/(</t>
    </r>
    <r>
      <rPr>
        <sz val="10"/>
        <rFont val="Symbol"/>
        <family val="1"/>
      </rPr>
      <t>g</t>
    </r>
    <r>
      <rPr>
        <sz val="10"/>
        <rFont val="Arial"/>
        <family val="2"/>
      </rPr>
      <t>-1))^0.5</t>
    </r>
  </si>
  <si>
    <r>
      <t>A</t>
    </r>
    <r>
      <rPr>
        <vertAlign val="subscript"/>
        <sz val="10"/>
        <rFont val="Arial"/>
        <family val="2"/>
      </rPr>
      <t>Ma=1</t>
    </r>
  </si>
  <si>
    <t>n</t>
  </si>
  <si>
    <t>Vcr=Vs</t>
  </si>
  <si>
    <t>Tcr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</si>
</sst>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E+00"/>
    <numFmt numFmtId="183" formatCode="[$-410]dddd\ d\ mmmm\ yyyy"/>
    <numFmt numFmtId="184" formatCode="hh\.mm\.ss"/>
    <numFmt numFmtId="185" formatCode="0.00000000"/>
    <numFmt numFmtId="186" formatCode="0.0000000000"/>
    <numFmt numFmtId="187" formatCode="0.00000000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sz val="10"/>
      <name val="Times New Roman"/>
      <family val="1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i/>
      <sz val="10"/>
      <color indexed="17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mbria Math"/>
      <family val="1"/>
    </font>
    <font>
      <i/>
      <sz val="11"/>
      <color indexed="8"/>
      <name val="Cambria Math"/>
      <family val="1"/>
    </font>
    <font>
      <sz val="11"/>
      <color indexed="8"/>
      <name val="+mn-e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  <font>
      <i/>
      <sz val="10"/>
      <color rgb="FF00B05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1" fontId="57" fillId="0" borderId="0" xfId="0" applyNumberFormat="1" applyFont="1" applyAlignment="1">
      <alignment/>
    </xf>
    <xf numFmtId="0" fontId="5" fillId="0" borderId="0" xfId="0" applyFont="1" applyAlignment="1">
      <alignment/>
    </xf>
    <xf numFmtId="2" fontId="57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179" fontId="57" fillId="0" borderId="0" xfId="0" applyNumberFormat="1" applyFont="1" applyAlignment="1">
      <alignment/>
    </xf>
    <xf numFmtId="179" fontId="58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81" fontId="59" fillId="0" borderId="0" xfId="0" applyNumberFormat="1" applyFont="1" applyAlignment="1">
      <alignment/>
    </xf>
    <xf numFmtId="0" fontId="60" fillId="0" borderId="0" xfId="0" applyFont="1" applyAlignment="1">
      <alignment/>
    </xf>
    <xf numFmtId="179" fontId="59" fillId="0" borderId="0" xfId="0" applyNumberFormat="1" applyFont="1" applyAlignment="1">
      <alignment/>
    </xf>
    <xf numFmtId="181" fontId="58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60" fillId="0" borderId="0" xfId="0" applyNumberFormat="1" applyFont="1" applyAlignment="1">
      <alignment/>
    </xf>
    <xf numFmtId="0" fontId="57" fillId="0" borderId="0" xfId="0" applyFont="1" applyAlignment="1">
      <alignment/>
    </xf>
    <xf numFmtId="2" fontId="61" fillId="0" borderId="0" xfId="0" applyNumberFormat="1" applyFont="1" applyAlignment="1">
      <alignment/>
    </xf>
    <xf numFmtId="0" fontId="58" fillId="0" borderId="0" xfId="0" applyFont="1" applyAlignment="1">
      <alignment/>
    </xf>
    <xf numFmtId="0" fontId="6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542925</xdr:colOff>
      <xdr:row>23</xdr:row>
      <xdr:rowOff>104775</xdr:rowOff>
    </xdr:from>
    <xdr:ext cx="647700" cy="295275"/>
    <xdr:sp>
      <xdr:nvSpPr>
        <xdr:cNvPr id="1" name="CasellaDiTesto 1"/>
        <xdr:cNvSpPr txBox="1">
          <a:spLocks noChangeArrowheads="1"/>
        </xdr:cNvSpPr>
      </xdr:nvSpPr>
      <xdr:spPr>
        <a:xfrm>
          <a:off x="2552700" y="384810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RTi</a:t>
          </a:r>
        </a:p>
      </xdr:txBody>
    </xdr:sp>
    <xdr:clientData/>
  </xdr:oneCellAnchor>
  <xdr:oneCellAnchor>
    <xdr:from>
      <xdr:col>3</xdr:col>
      <xdr:colOff>542925</xdr:colOff>
      <xdr:row>25</xdr:row>
      <xdr:rowOff>95250</xdr:rowOff>
    </xdr:from>
    <xdr:ext cx="838200" cy="266700"/>
    <xdr:sp>
      <xdr:nvSpPr>
        <xdr:cNvPr id="2" name="CasellaDiTesto 2"/>
        <xdr:cNvSpPr txBox="1">
          <a:spLocks noChangeArrowheads="1"/>
        </xdr:cNvSpPr>
      </xdr:nvSpPr>
      <xdr:spPr>
        <a:xfrm>
          <a:off x="2552700" y="4162425"/>
          <a:ext cx="838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Vi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Vi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)s</a:t>
          </a:r>
        </a:p>
      </xdr:txBody>
    </xdr:sp>
    <xdr:clientData/>
  </xdr:oneCellAnchor>
  <xdr:oneCellAnchor>
    <xdr:from>
      <xdr:col>3</xdr:col>
      <xdr:colOff>485775</xdr:colOff>
      <xdr:row>28</xdr:row>
      <xdr:rowOff>0</xdr:rowOff>
    </xdr:from>
    <xdr:ext cx="1543050" cy="466725"/>
    <xdr:sp>
      <xdr:nvSpPr>
        <xdr:cNvPr id="3" name="CasellaDiTesto 3"/>
        <xdr:cNvSpPr txBox="1">
          <a:spLocks noChangeArrowheads="1"/>
        </xdr:cNvSpPr>
      </xdr:nvSpPr>
      <xdr:spPr>
        <a:xfrm>
          <a:off x="2495550" y="4552950"/>
          <a:ext cx="1543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=Ti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</a:t>
          </a:r>
        </a:p>
      </xdr:txBody>
    </xdr:sp>
    <xdr:clientData/>
  </xdr:oneCellAnchor>
  <xdr:oneCellAnchor>
    <xdr:from>
      <xdr:col>2</xdr:col>
      <xdr:colOff>695325</xdr:colOff>
      <xdr:row>37</xdr:row>
      <xdr:rowOff>104775</xdr:rowOff>
    </xdr:from>
    <xdr:ext cx="1838325" cy="552450"/>
    <xdr:sp>
      <xdr:nvSpPr>
        <xdr:cNvPr id="4" name="CasellaDiTesto 5"/>
        <xdr:cNvSpPr txBox="1">
          <a:spLocks noChangeArrowheads="1"/>
        </xdr:cNvSpPr>
      </xdr:nvSpPr>
      <xdr:spPr>
        <a:xfrm>
          <a:off x="2000250" y="6115050"/>
          <a:ext cx="18383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</a:p>
      </xdr:txBody>
    </xdr:sp>
    <xdr:clientData/>
  </xdr:oneCellAnchor>
  <xdr:oneCellAnchor>
    <xdr:from>
      <xdr:col>3</xdr:col>
      <xdr:colOff>428625</xdr:colOff>
      <xdr:row>41</xdr:row>
      <xdr:rowOff>9525</xdr:rowOff>
    </xdr:from>
    <xdr:ext cx="1971675" cy="685800"/>
    <xdr:sp>
      <xdr:nvSpPr>
        <xdr:cNvPr id="5" name="CasellaDiTesto 6"/>
        <xdr:cNvSpPr txBox="1">
          <a:spLocks noChangeArrowheads="1"/>
        </xdr:cNvSpPr>
      </xdr:nvSpPr>
      <xdr:spPr>
        <a:xfrm>
          <a:off x="2438400" y="6667500"/>
          <a:ext cx="1971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RTo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</a:p>
      </xdr:txBody>
    </xdr:sp>
    <xdr:clientData/>
  </xdr:oneCellAnchor>
  <xdr:oneCellAnchor>
    <xdr:from>
      <xdr:col>3</xdr:col>
      <xdr:colOff>114300</xdr:colOff>
      <xdr:row>45</xdr:row>
      <xdr:rowOff>114300</xdr:rowOff>
    </xdr:from>
    <xdr:ext cx="2543175" cy="752475"/>
    <xdr:sp>
      <xdr:nvSpPr>
        <xdr:cNvPr id="6" name="CasellaDiTesto 7"/>
        <xdr:cNvSpPr txBox="1">
          <a:spLocks noChangeArrowheads="1"/>
        </xdr:cNvSpPr>
      </xdr:nvSpPr>
      <xdr:spPr>
        <a:xfrm>
          <a:off x="2124075" y="7439025"/>
          <a:ext cx="25431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)] )</a:t>
          </a:r>
        </a:p>
      </xdr:txBody>
    </xdr:sp>
    <xdr:clientData/>
  </xdr:oneCellAnchor>
  <xdr:oneCellAnchor>
    <xdr:from>
      <xdr:col>3</xdr:col>
      <xdr:colOff>266700</xdr:colOff>
      <xdr:row>55</xdr:row>
      <xdr:rowOff>47625</xdr:rowOff>
    </xdr:from>
    <xdr:ext cx="2543175" cy="581025"/>
    <xdr:sp>
      <xdr:nvSpPr>
        <xdr:cNvPr id="7" name="CasellaDiTesto 8"/>
        <xdr:cNvSpPr txBox="1">
          <a:spLocks noChangeArrowheads="1"/>
        </xdr:cNvSpPr>
      </xdr:nvSpPr>
      <xdr:spPr>
        <a:xfrm>
          <a:off x="2276475" y="8991600"/>
          <a:ext cx="2543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Mau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</a:p>
      </xdr:txBody>
    </xdr:sp>
    <xdr:clientData/>
  </xdr:oneCellAnchor>
  <xdr:oneCellAnchor>
    <xdr:from>
      <xdr:col>3</xdr:col>
      <xdr:colOff>542925</xdr:colOff>
      <xdr:row>59</xdr:row>
      <xdr:rowOff>123825</xdr:rowOff>
    </xdr:from>
    <xdr:ext cx="1314450" cy="257175"/>
    <xdr:sp>
      <xdr:nvSpPr>
        <xdr:cNvPr id="8" name="CasellaDiTesto 9"/>
        <xdr:cNvSpPr txBox="1">
          <a:spLocks noChangeArrowheads="1"/>
        </xdr:cNvSpPr>
      </xdr:nvSpPr>
      <xdr:spPr>
        <a:xfrm>
          <a:off x="2552700" y="9715500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=Acr∗(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Au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3</xdr:col>
      <xdr:colOff>523875</xdr:colOff>
      <xdr:row>30</xdr:row>
      <xdr:rowOff>152400</xdr:rowOff>
    </xdr:from>
    <xdr:ext cx="1685925" cy="466725"/>
    <xdr:sp>
      <xdr:nvSpPr>
        <xdr:cNvPr id="9" name="CasellaDiTesto 10"/>
        <xdr:cNvSpPr txBox="1">
          <a:spLocks noChangeArrowheads="1"/>
        </xdr:cNvSpPr>
      </xdr:nvSpPr>
      <xdr:spPr>
        <a:xfrm>
          <a:off x="2533650" y="5029200"/>
          <a:ext cx="1685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=pi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</a:p>
      </xdr:txBody>
    </xdr:sp>
    <xdr:clientData/>
  </xdr:oneCellAnchor>
  <xdr:oneCellAnchor>
    <xdr:from>
      <xdr:col>3</xdr:col>
      <xdr:colOff>0</xdr:colOff>
      <xdr:row>34</xdr:row>
      <xdr:rowOff>66675</xdr:rowOff>
    </xdr:from>
    <xdr:ext cx="1981200" cy="561975"/>
    <xdr:sp>
      <xdr:nvSpPr>
        <xdr:cNvPr id="10" name="CasellaDiTesto 11"/>
        <xdr:cNvSpPr txBox="1">
          <a:spLocks noChangeArrowheads="1"/>
        </xdr:cNvSpPr>
      </xdr:nvSpPr>
      <xdr:spPr>
        <a:xfrm>
          <a:off x="2009775" y="5591175"/>
          <a:ext cx="1981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3</xdr:col>
      <xdr:colOff>542925</xdr:colOff>
      <xdr:row>51</xdr:row>
      <xdr:rowOff>85725</xdr:rowOff>
    </xdr:from>
    <xdr:ext cx="647700" cy="314325"/>
    <xdr:sp>
      <xdr:nvSpPr>
        <xdr:cNvPr id="11" name="CasellaDiTesto 12"/>
        <xdr:cNvSpPr txBox="1">
          <a:spLocks noChangeArrowheads="1"/>
        </xdr:cNvSpPr>
      </xdr:nvSpPr>
      <xdr:spPr>
        <a:xfrm>
          <a:off x="2552700" y="8382000"/>
          <a:ext cx="647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RTu</a:t>
          </a:r>
        </a:p>
      </xdr:txBody>
    </xdr:sp>
    <xdr:clientData/>
  </xdr:oneCellAnchor>
  <xdr:oneCellAnchor>
    <xdr:from>
      <xdr:col>3</xdr:col>
      <xdr:colOff>542925</xdr:colOff>
      <xdr:row>53</xdr:row>
      <xdr:rowOff>104775</xdr:rowOff>
    </xdr:from>
    <xdr:ext cx="914400" cy="285750"/>
    <xdr:sp>
      <xdr:nvSpPr>
        <xdr:cNvPr id="12" name="CasellaDiTesto 13"/>
        <xdr:cNvSpPr txBox="1">
          <a:spLocks noChangeArrowheads="1"/>
        </xdr:cNvSpPr>
      </xdr:nvSpPr>
      <xdr:spPr>
        <a:xfrm>
          <a:off x="2552700" y="8724900"/>
          <a:ext cx="914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 Mau</a:t>
          </a:r>
        </a:p>
      </xdr:txBody>
    </xdr:sp>
    <xdr:clientData/>
  </xdr:oneCellAnchor>
  <xdr:oneCellAnchor>
    <xdr:from>
      <xdr:col>3</xdr:col>
      <xdr:colOff>466725</xdr:colOff>
      <xdr:row>21</xdr:row>
      <xdr:rowOff>28575</xdr:rowOff>
    </xdr:from>
    <xdr:ext cx="733425" cy="438150"/>
    <xdr:sp>
      <xdr:nvSpPr>
        <xdr:cNvPr id="13" name="CasellaDiTesto 14"/>
        <xdr:cNvSpPr txBox="1">
          <a:spLocks noChangeArrowheads="1"/>
        </xdr:cNvSpPr>
      </xdr:nvSpPr>
      <xdr:spPr>
        <a:xfrm>
          <a:off x="2476500" y="34290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piVi</a:t>
          </a:r>
        </a:p>
      </xdr:txBody>
    </xdr:sp>
    <xdr:clientData/>
  </xdr:oneCellAnchor>
  <xdr:twoCellAnchor editAs="oneCell">
    <xdr:from>
      <xdr:col>7</xdr:col>
      <xdr:colOff>0</xdr:colOff>
      <xdr:row>18</xdr:row>
      <xdr:rowOff>104775</xdr:rowOff>
    </xdr:from>
    <xdr:to>
      <xdr:col>13</xdr:col>
      <xdr:colOff>266700</xdr:colOff>
      <xdr:row>52</xdr:row>
      <xdr:rowOff>57150</xdr:rowOff>
    </xdr:to>
    <xdr:pic>
      <xdr:nvPicPr>
        <xdr:cNvPr id="14" name="Immagin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019425"/>
          <a:ext cx="411480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</xdr:colOff>
      <xdr:row>23</xdr:row>
      <xdr:rowOff>0</xdr:rowOff>
    </xdr:from>
    <xdr:to>
      <xdr:col>11</xdr:col>
      <xdr:colOff>114300</xdr:colOff>
      <xdr:row>51</xdr:row>
      <xdr:rowOff>114300</xdr:rowOff>
    </xdr:to>
    <xdr:sp>
      <xdr:nvSpPr>
        <xdr:cNvPr id="15" name="Connettore 1 16"/>
        <xdr:cNvSpPr>
          <a:spLocks/>
        </xdr:cNvSpPr>
      </xdr:nvSpPr>
      <xdr:spPr>
        <a:xfrm>
          <a:off x="7267575" y="3743325"/>
          <a:ext cx="0" cy="466725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27</xdr:row>
      <xdr:rowOff>76200</xdr:rowOff>
    </xdr:from>
    <xdr:to>
      <xdr:col>12</xdr:col>
      <xdr:colOff>609600</xdr:colOff>
      <xdr:row>27</xdr:row>
      <xdr:rowOff>76200</xdr:rowOff>
    </xdr:to>
    <xdr:sp>
      <xdr:nvSpPr>
        <xdr:cNvPr id="16" name="Connettore 1 18"/>
        <xdr:cNvSpPr>
          <a:spLocks/>
        </xdr:cNvSpPr>
      </xdr:nvSpPr>
      <xdr:spPr>
        <a:xfrm>
          <a:off x="4772025" y="4467225"/>
          <a:ext cx="3600450" cy="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495300</xdr:colOff>
      <xdr:row>59</xdr:row>
      <xdr:rowOff>47625</xdr:rowOff>
    </xdr:from>
    <xdr:ext cx="752475" cy="438150"/>
    <xdr:sp>
      <xdr:nvSpPr>
        <xdr:cNvPr id="17" name="CasellaDiTesto 24"/>
        <xdr:cNvSpPr txBox="1">
          <a:spLocks noChangeArrowheads="1"/>
        </xdr:cNvSpPr>
      </xdr:nvSpPr>
      <xdr:spPr>
        <a:xfrm>
          <a:off x="5695950" y="9639300"/>
          <a:ext cx="752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puVu</a:t>
          </a:r>
        </a:p>
      </xdr:txBody>
    </xdr:sp>
    <xdr:clientData/>
  </xdr:oneCellAnchor>
  <xdr:oneCellAnchor>
    <xdr:from>
      <xdr:col>8</xdr:col>
      <xdr:colOff>504825</xdr:colOff>
      <xdr:row>53</xdr:row>
      <xdr:rowOff>38100</xdr:rowOff>
    </xdr:from>
    <xdr:ext cx="752475" cy="428625"/>
    <xdr:sp>
      <xdr:nvSpPr>
        <xdr:cNvPr id="18" name="CasellaDiTesto 19"/>
        <xdr:cNvSpPr txBox="1">
          <a:spLocks noChangeArrowheads="1"/>
        </xdr:cNvSpPr>
      </xdr:nvSpPr>
      <xdr:spPr>
        <a:xfrm>
          <a:off x="5705475" y="8658225"/>
          <a:ext cx="752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u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542925</xdr:colOff>
      <xdr:row>24</xdr:row>
      <xdr:rowOff>104775</xdr:rowOff>
    </xdr:from>
    <xdr:ext cx="647700" cy="295275"/>
    <xdr:sp>
      <xdr:nvSpPr>
        <xdr:cNvPr id="1" name="CasellaDiTesto 1"/>
        <xdr:cNvSpPr txBox="1">
          <a:spLocks noChangeArrowheads="1"/>
        </xdr:cNvSpPr>
      </xdr:nvSpPr>
      <xdr:spPr>
        <a:xfrm>
          <a:off x="3019425" y="4029075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RTi</a:t>
          </a:r>
        </a:p>
      </xdr:txBody>
    </xdr:sp>
    <xdr:clientData/>
  </xdr:oneCellAnchor>
  <xdr:oneCellAnchor>
    <xdr:from>
      <xdr:col>3</xdr:col>
      <xdr:colOff>542925</xdr:colOff>
      <xdr:row>26</xdr:row>
      <xdr:rowOff>95250</xdr:rowOff>
    </xdr:from>
    <xdr:ext cx="838200" cy="266700"/>
    <xdr:sp>
      <xdr:nvSpPr>
        <xdr:cNvPr id="2" name="CasellaDiTesto 2"/>
        <xdr:cNvSpPr txBox="1">
          <a:spLocks noChangeArrowheads="1"/>
        </xdr:cNvSpPr>
      </xdr:nvSpPr>
      <xdr:spPr>
        <a:xfrm>
          <a:off x="3019425" y="4343400"/>
          <a:ext cx="838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Vi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Vi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)s</a:t>
          </a:r>
        </a:p>
      </xdr:txBody>
    </xdr:sp>
    <xdr:clientData/>
  </xdr:oneCellAnchor>
  <xdr:oneCellAnchor>
    <xdr:from>
      <xdr:col>3</xdr:col>
      <xdr:colOff>485775</xdr:colOff>
      <xdr:row>30</xdr:row>
      <xdr:rowOff>0</xdr:rowOff>
    </xdr:from>
    <xdr:ext cx="1543050" cy="466725"/>
    <xdr:sp>
      <xdr:nvSpPr>
        <xdr:cNvPr id="3" name="CasellaDiTesto 3"/>
        <xdr:cNvSpPr txBox="1">
          <a:spLocks noChangeArrowheads="1"/>
        </xdr:cNvSpPr>
      </xdr:nvSpPr>
      <xdr:spPr>
        <a:xfrm>
          <a:off x="2962275" y="4895850"/>
          <a:ext cx="1543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=Ti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</a:t>
          </a:r>
        </a:p>
      </xdr:txBody>
    </xdr:sp>
    <xdr:clientData/>
  </xdr:oneCellAnchor>
  <xdr:oneCellAnchor>
    <xdr:from>
      <xdr:col>3</xdr:col>
      <xdr:colOff>76200</xdr:colOff>
      <xdr:row>43</xdr:row>
      <xdr:rowOff>85725</xdr:rowOff>
    </xdr:from>
    <xdr:ext cx="1857375" cy="552450"/>
    <xdr:sp>
      <xdr:nvSpPr>
        <xdr:cNvPr id="4" name="CasellaDiTesto 4"/>
        <xdr:cNvSpPr txBox="1">
          <a:spLocks noChangeArrowheads="1"/>
        </xdr:cNvSpPr>
      </xdr:nvSpPr>
      <xdr:spPr>
        <a:xfrm>
          <a:off x="2552700" y="7124700"/>
          <a:ext cx="18573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</a:p>
      </xdr:txBody>
    </xdr:sp>
    <xdr:clientData/>
  </xdr:oneCellAnchor>
  <xdr:oneCellAnchor>
    <xdr:from>
      <xdr:col>3</xdr:col>
      <xdr:colOff>466725</xdr:colOff>
      <xdr:row>75</xdr:row>
      <xdr:rowOff>19050</xdr:rowOff>
    </xdr:from>
    <xdr:ext cx="1971675" cy="685800"/>
    <xdr:sp>
      <xdr:nvSpPr>
        <xdr:cNvPr id="5" name="CasellaDiTesto 5"/>
        <xdr:cNvSpPr txBox="1">
          <a:spLocks noChangeArrowheads="1"/>
        </xdr:cNvSpPr>
      </xdr:nvSpPr>
      <xdr:spPr>
        <a:xfrm>
          <a:off x="2943225" y="12392025"/>
          <a:ext cx="1971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</a:p>
      </xdr:txBody>
    </xdr:sp>
    <xdr:clientData/>
  </xdr:oneCellAnchor>
  <xdr:oneCellAnchor>
    <xdr:from>
      <xdr:col>3</xdr:col>
      <xdr:colOff>161925</xdr:colOff>
      <xdr:row>87</xdr:row>
      <xdr:rowOff>123825</xdr:rowOff>
    </xdr:from>
    <xdr:ext cx="2543175" cy="752475"/>
    <xdr:sp>
      <xdr:nvSpPr>
        <xdr:cNvPr id="6" name="CasellaDiTesto 6"/>
        <xdr:cNvSpPr txBox="1">
          <a:spLocks noChangeArrowheads="1"/>
        </xdr:cNvSpPr>
      </xdr:nvSpPr>
      <xdr:spPr>
        <a:xfrm>
          <a:off x="2638425" y="14497050"/>
          <a:ext cx="25431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)] )</a:t>
          </a:r>
        </a:p>
      </xdr:txBody>
    </xdr:sp>
    <xdr:clientData/>
  </xdr:oneCellAnchor>
  <xdr:oneCellAnchor>
    <xdr:from>
      <xdr:col>3</xdr:col>
      <xdr:colOff>285750</xdr:colOff>
      <xdr:row>92</xdr:row>
      <xdr:rowOff>66675</xdr:rowOff>
    </xdr:from>
    <xdr:ext cx="2543175" cy="581025"/>
    <xdr:sp>
      <xdr:nvSpPr>
        <xdr:cNvPr id="7" name="CasellaDiTesto 7"/>
        <xdr:cNvSpPr txBox="1">
          <a:spLocks noChangeArrowheads="1"/>
        </xdr:cNvSpPr>
      </xdr:nvSpPr>
      <xdr:spPr>
        <a:xfrm>
          <a:off x="2762250" y="15249525"/>
          <a:ext cx="2543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Mau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</a:p>
      </xdr:txBody>
    </xdr:sp>
    <xdr:clientData/>
  </xdr:oneCellAnchor>
  <xdr:oneCellAnchor>
    <xdr:from>
      <xdr:col>3</xdr:col>
      <xdr:colOff>542925</xdr:colOff>
      <xdr:row>98</xdr:row>
      <xdr:rowOff>123825</xdr:rowOff>
    </xdr:from>
    <xdr:ext cx="1314450" cy="257175"/>
    <xdr:sp>
      <xdr:nvSpPr>
        <xdr:cNvPr id="8" name="CasellaDiTesto 8"/>
        <xdr:cNvSpPr txBox="1">
          <a:spLocks noChangeArrowheads="1"/>
        </xdr:cNvSpPr>
      </xdr:nvSpPr>
      <xdr:spPr>
        <a:xfrm>
          <a:off x="3019425" y="1629727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=Acr∗(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Au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3</xdr:col>
      <xdr:colOff>523875</xdr:colOff>
      <xdr:row>32</xdr:row>
      <xdr:rowOff>152400</xdr:rowOff>
    </xdr:from>
    <xdr:ext cx="1685925" cy="466725"/>
    <xdr:sp>
      <xdr:nvSpPr>
        <xdr:cNvPr id="9" name="CasellaDiTesto 9"/>
        <xdr:cNvSpPr txBox="1">
          <a:spLocks noChangeArrowheads="1"/>
        </xdr:cNvSpPr>
      </xdr:nvSpPr>
      <xdr:spPr>
        <a:xfrm>
          <a:off x="3000375" y="5372100"/>
          <a:ext cx="1685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=pi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</a:p>
      </xdr:txBody>
    </xdr:sp>
    <xdr:clientData/>
  </xdr:oneCellAnchor>
  <xdr:oneCellAnchor>
    <xdr:from>
      <xdr:col>3</xdr:col>
      <xdr:colOff>66675</xdr:colOff>
      <xdr:row>40</xdr:row>
      <xdr:rowOff>76200</xdr:rowOff>
    </xdr:from>
    <xdr:ext cx="1971675" cy="571500"/>
    <xdr:sp>
      <xdr:nvSpPr>
        <xdr:cNvPr id="10" name="CasellaDiTesto 10"/>
        <xdr:cNvSpPr txBox="1">
          <a:spLocks noChangeArrowheads="1"/>
        </xdr:cNvSpPr>
      </xdr:nvSpPr>
      <xdr:spPr>
        <a:xfrm>
          <a:off x="2543175" y="6591300"/>
          <a:ext cx="1971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3</xdr:col>
      <xdr:colOff>542925</xdr:colOff>
      <xdr:row>86</xdr:row>
      <xdr:rowOff>85725</xdr:rowOff>
    </xdr:from>
    <xdr:ext cx="647700" cy="314325"/>
    <xdr:sp>
      <xdr:nvSpPr>
        <xdr:cNvPr id="11" name="CasellaDiTesto 11"/>
        <xdr:cNvSpPr txBox="1">
          <a:spLocks noChangeArrowheads="1"/>
        </xdr:cNvSpPr>
      </xdr:nvSpPr>
      <xdr:spPr>
        <a:xfrm>
          <a:off x="3019425" y="14297025"/>
          <a:ext cx="647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RTu</a:t>
          </a:r>
        </a:p>
      </xdr:txBody>
    </xdr:sp>
    <xdr:clientData/>
  </xdr:oneCellAnchor>
  <xdr:oneCellAnchor>
    <xdr:from>
      <xdr:col>3</xdr:col>
      <xdr:colOff>542925</xdr:colOff>
      <xdr:row>84</xdr:row>
      <xdr:rowOff>95250</xdr:rowOff>
    </xdr:from>
    <xdr:ext cx="914400" cy="285750"/>
    <xdr:sp>
      <xdr:nvSpPr>
        <xdr:cNvPr id="12" name="CasellaDiTesto 12"/>
        <xdr:cNvSpPr txBox="1">
          <a:spLocks noChangeArrowheads="1"/>
        </xdr:cNvSpPr>
      </xdr:nvSpPr>
      <xdr:spPr>
        <a:xfrm>
          <a:off x="3019425" y="13982700"/>
          <a:ext cx="914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 Mau</a:t>
          </a:r>
        </a:p>
      </xdr:txBody>
    </xdr:sp>
    <xdr:clientData/>
  </xdr:oneCellAnchor>
  <xdr:oneCellAnchor>
    <xdr:from>
      <xdr:col>3</xdr:col>
      <xdr:colOff>466725</xdr:colOff>
      <xdr:row>22</xdr:row>
      <xdr:rowOff>28575</xdr:rowOff>
    </xdr:from>
    <xdr:ext cx="733425" cy="438150"/>
    <xdr:sp>
      <xdr:nvSpPr>
        <xdr:cNvPr id="13" name="CasellaDiTesto 13"/>
        <xdr:cNvSpPr txBox="1">
          <a:spLocks noChangeArrowheads="1"/>
        </xdr:cNvSpPr>
      </xdr:nvSpPr>
      <xdr:spPr>
        <a:xfrm>
          <a:off x="2943225" y="3609975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piVi</a:t>
          </a:r>
        </a:p>
      </xdr:txBody>
    </xdr:sp>
    <xdr:clientData/>
  </xdr:oneCellAnchor>
  <xdr:oneCellAnchor>
    <xdr:from>
      <xdr:col>3</xdr:col>
      <xdr:colOff>523875</xdr:colOff>
      <xdr:row>96</xdr:row>
      <xdr:rowOff>28575</xdr:rowOff>
    </xdr:from>
    <xdr:ext cx="704850" cy="438150"/>
    <xdr:sp>
      <xdr:nvSpPr>
        <xdr:cNvPr id="14" name="CasellaDiTesto 17"/>
        <xdr:cNvSpPr txBox="1">
          <a:spLocks noChangeArrowheads="1"/>
        </xdr:cNvSpPr>
      </xdr:nvSpPr>
      <xdr:spPr>
        <a:xfrm>
          <a:off x="3000375" y="15859125"/>
          <a:ext cx="704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puVu</a:t>
          </a:r>
        </a:p>
      </xdr:txBody>
    </xdr:sp>
    <xdr:clientData/>
  </xdr:oneCellAnchor>
  <xdr:oneCellAnchor>
    <xdr:from>
      <xdr:col>0</xdr:col>
      <xdr:colOff>447675</xdr:colOff>
      <xdr:row>28</xdr:row>
      <xdr:rowOff>28575</xdr:rowOff>
    </xdr:from>
    <xdr:ext cx="1171575" cy="400050"/>
    <xdr:sp>
      <xdr:nvSpPr>
        <xdr:cNvPr id="15" name="CasellaDiTesto 18"/>
        <xdr:cNvSpPr txBox="1">
          <a:spLocks noChangeArrowheads="1"/>
        </xdr:cNvSpPr>
      </xdr:nvSpPr>
      <xdr:spPr>
        <a:xfrm>
          <a:off x="447675" y="4600575"/>
          <a:ext cx="1171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</a:p>
      </xdr:txBody>
    </xdr:sp>
    <xdr:clientData/>
  </xdr:oneCellAnchor>
  <xdr:oneCellAnchor>
    <xdr:from>
      <xdr:col>12</xdr:col>
      <xdr:colOff>9525</xdr:colOff>
      <xdr:row>40</xdr:row>
      <xdr:rowOff>85725</xdr:rowOff>
    </xdr:from>
    <xdr:ext cx="1943100" cy="571500"/>
    <xdr:sp>
      <xdr:nvSpPr>
        <xdr:cNvPr id="16" name="CasellaDiTesto 23"/>
        <xdr:cNvSpPr txBox="1">
          <a:spLocks noChangeArrowheads="1"/>
        </xdr:cNvSpPr>
      </xdr:nvSpPr>
      <xdr:spPr>
        <a:xfrm>
          <a:off x="9896475" y="6600825"/>
          <a:ext cx="1943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12</xdr:col>
      <xdr:colOff>400050</xdr:colOff>
      <xdr:row>43</xdr:row>
      <xdr:rowOff>76200</xdr:rowOff>
    </xdr:from>
    <xdr:ext cx="2657475" cy="552450"/>
    <xdr:sp>
      <xdr:nvSpPr>
        <xdr:cNvPr id="17" name="CasellaDiTesto 24"/>
        <xdr:cNvSpPr txBox="1">
          <a:spLocks noChangeArrowheads="1"/>
        </xdr:cNvSpPr>
      </xdr:nvSpPr>
      <xdr:spPr>
        <a:xfrm>
          <a:off x="10287000" y="7115175"/>
          <a:ext cx="2657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</a:p>
      </xdr:txBody>
    </xdr:sp>
    <xdr:clientData/>
  </xdr:oneCellAnchor>
  <xdr:oneCellAnchor>
    <xdr:from>
      <xdr:col>12</xdr:col>
      <xdr:colOff>85725</xdr:colOff>
      <xdr:row>51</xdr:row>
      <xdr:rowOff>66675</xdr:rowOff>
    </xdr:from>
    <xdr:ext cx="2000250" cy="590550"/>
    <xdr:sp>
      <xdr:nvSpPr>
        <xdr:cNvPr id="18" name="CasellaDiTesto 25"/>
        <xdr:cNvSpPr txBox="1">
          <a:spLocks noChangeArrowheads="1"/>
        </xdr:cNvSpPr>
      </xdr:nvSpPr>
      <xdr:spPr>
        <a:xfrm>
          <a:off x="9972675" y="8401050"/>
          <a:ext cx="20002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 Toi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11</xdr:col>
      <xdr:colOff>581025</xdr:colOff>
      <xdr:row>54</xdr:row>
      <xdr:rowOff>76200</xdr:rowOff>
    </xdr:from>
    <xdr:ext cx="1914525" cy="590550"/>
    <xdr:sp>
      <xdr:nvSpPr>
        <xdr:cNvPr id="19" name="CasellaDiTesto 26"/>
        <xdr:cNvSpPr txBox="1">
          <a:spLocks noChangeArrowheads="1"/>
        </xdr:cNvSpPr>
      </xdr:nvSpPr>
      <xdr:spPr>
        <a:xfrm>
          <a:off x="9801225" y="8896350"/>
          <a:ext cx="19145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</a:p>
      </xdr:txBody>
    </xdr:sp>
    <xdr:clientData/>
  </xdr:oneCellAnchor>
  <xdr:oneCellAnchor>
    <xdr:from>
      <xdr:col>12</xdr:col>
      <xdr:colOff>209550</xdr:colOff>
      <xdr:row>57</xdr:row>
      <xdr:rowOff>123825</xdr:rowOff>
    </xdr:from>
    <xdr:ext cx="2000250" cy="762000"/>
    <xdr:sp>
      <xdr:nvSpPr>
        <xdr:cNvPr id="20" name="CasellaDiTesto 27"/>
        <xdr:cNvSpPr txBox="1">
          <a:spLocks noChangeArrowheads="1"/>
        </xdr:cNvSpPr>
      </xdr:nvSpPr>
      <xdr:spPr>
        <a:xfrm>
          <a:off x="10096500" y="9429750"/>
          <a:ext cx="2000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 )</a:t>
          </a:r>
        </a:p>
      </xdr:txBody>
    </xdr:sp>
    <xdr:clientData/>
  </xdr:oneCellAnchor>
  <xdr:oneCellAnchor>
    <xdr:from>
      <xdr:col>12</xdr:col>
      <xdr:colOff>419100</xdr:colOff>
      <xdr:row>62</xdr:row>
      <xdr:rowOff>9525</xdr:rowOff>
    </xdr:from>
    <xdr:ext cx="1924050" cy="1038225"/>
    <xdr:sp>
      <xdr:nvSpPr>
        <xdr:cNvPr id="21" name="CasellaDiTesto 28"/>
        <xdr:cNvSpPr txBox="1">
          <a:spLocks noChangeArrowheads="1"/>
        </xdr:cNvSpPr>
      </xdr:nvSpPr>
      <xdr:spPr>
        <a:xfrm>
          <a:off x="10306050" y="10163175"/>
          <a:ext cx="19240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 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 </a:t>
          </a:r>
        </a:p>
      </xdr:txBody>
    </xdr:sp>
    <xdr:clientData/>
  </xdr:oneCellAnchor>
  <xdr:oneCellAnchor>
    <xdr:from>
      <xdr:col>12</xdr:col>
      <xdr:colOff>152400</xdr:colOff>
      <xdr:row>71</xdr:row>
      <xdr:rowOff>19050</xdr:rowOff>
    </xdr:from>
    <xdr:ext cx="1990725" cy="447675"/>
    <xdr:sp>
      <xdr:nvSpPr>
        <xdr:cNvPr id="22" name="CasellaDiTesto 29"/>
        <xdr:cNvSpPr txBox="1">
          <a:spLocks noChangeArrowheads="1"/>
        </xdr:cNvSpPr>
      </xdr:nvSpPr>
      <xdr:spPr>
        <a:xfrm>
          <a:off x="10039350" y="11744325"/>
          <a:ext cx="1990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Acr_n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Ma=1_n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Ma=1_n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Acr_s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12</xdr:col>
      <xdr:colOff>514350</xdr:colOff>
      <xdr:row>86</xdr:row>
      <xdr:rowOff>76200</xdr:rowOff>
    </xdr:from>
    <xdr:ext cx="657225" cy="295275"/>
    <xdr:sp>
      <xdr:nvSpPr>
        <xdr:cNvPr id="23" name="CasellaDiTesto 30"/>
        <xdr:cNvSpPr txBox="1">
          <a:spLocks noChangeArrowheads="1"/>
        </xdr:cNvSpPr>
      </xdr:nvSpPr>
      <xdr:spPr>
        <a:xfrm>
          <a:off x="10401300" y="14287500"/>
          <a:ext cx="657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RTu</a:t>
          </a:r>
        </a:p>
      </xdr:txBody>
    </xdr:sp>
    <xdr:clientData/>
  </xdr:oneCellAnchor>
  <xdr:oneCellAnchor>
    <xdr:from>
      <xdr:col>12</xdr:col>
      <xdr:colOff>123825</xdr:colOff>
      <xdr:row>82</xdr:row>
      <xdr:rowOff>19050</xdr:rowOff>
    </xdr:from>
    <xdr:ext cx="2000250" cy="438150"/>
    <xdr:sp>
      <xdr:nvSpPr>
        <xdr:cNvPr id="24" name="CasellaDiTesto 31"/>
        <xdr:cNvSpPr txBox="1">
          <a:spLocks noChangeArrowheads="1"/>
        </xdr:cNvSpPr>
      </xdr:nvSpPr>
      <xdr:spPr>
        <a:xfrm>
          <a:off x="10010775" y="13582650"/>
          <a:ext cx="2000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Toi-Tu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</a:p>
      </xdr:txBody>
    </xdr:sp>
    <xdr:clientData/>
  </xdr:oneCellAnchor>
  <xdr:oneCellAnchor>
    <xdr:from>
      <xdr:col>3</xdr:col>
      <xdr:colOff>161925</xdr:colOff>
      <xdr:row>82</xdr:row>
      <xdr:rowOff>19050</xdr:rowOff>
    </xdr:from>
    <xdr:ext cx="1971675" cy="428625"/>
    <xdr:sp>
      <xdr:nvSpPr>
        <xdr:cNvPr id="25" name="CasellaDiTesto 32"/>
        <xdr:cNvSpPr txBox="1">
          <a:spLocks noChangeArrowheads="1"/>
        </xdr:cNvSpPr>
      </xdr:nvSpPr>
      <xdr:spPr>
        <a:xfrm>
          <a:off x="2638425" y="13582650"/>
          <a:ext cx="1971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Toi-Tu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</a:p>
      </xdr:txBody>
    </xdr:sp>
    <xdr:clientData/>
  </xdr:oneCellAnchor>
  <xdr:oneCellAnchor>
    <xdr:from>
      <xdr:col>11</xdr:col>
      <xdr:colOff>542925</xdr:colOff>
      <xdr:row>89</xdr:row>
      <xdr:rowOff>19050</xdr:rowOff>
    </xdr:from>
    <xdr:ext cx="1924050" cy="438150"/>
    <xdr:sp>
      <xdr:nvSpPr>
        <xdr:cNvPr id="26" name="CasellaDiTesto 33"/>
        <xdr:cNvSpPr txBox="1">
          <a:spLocks noChangeArrowheads="1"/>
        </xdr:cNvSpPr>
      </xdr:nvSpPr>
      <xdr:spPr>
        <a:xfrm>
          <a:off x="9763125" y="14716125"/>
          <a:ext cx="1924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=Vu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</a:p>
      </xdr:txBody>
    </xdr:sp>
    <xdr:clientData/>
  </xdr:oneCellAnchor>
  <xdr:oneCellAnchor>
    <xdr:from>
      <xdr:col>12</xdr:col>
      <xdr:colOff>485775</xdr:colOff>
      <xdr:row>96</xdr:row>
      <xdr:rowOff>38100</xdr:rowOff>
    </xdr:from>
    <xdr:ext cx="723900" cy="438150"/>
    <xdr:sp>
      <xdr:nvSpPr>
        <xdr:cNvPr id="27" name="CasellaDiTesto 34"/>
        <xdr:cNvSpPr txBox="1">
          <a:spLocks noChangeArrowheads="1"/>
        </xdr:cNvSpPr>
      </xdr:nvSpPr>
      <xdr:spPr>
        <a:xfrm>
          <a:off x="10372725" y="15868650"/>
          <a:ext cx="723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puVu</a:t>
          </a:r>
        </a:p>
      </xdr:txBody>
    </xdr:sp>
    <xdr:clientData/>
  </xdr:oneCellAnchor>
  <xdr:oneCellAnchor>
    <xdr:from>
      <xdr:col>12</xdr:col>
      <xdr:colOff>47625</xdr:colOff>
      <xdr:row>76</xdr:row>
      <xdr:rowOff>28575</xdr:rowOff>
    </xdr:from>
    <xdr:ext cx="1914525" cy="419100"/>
    <xdr:sp>
      <xdr:nvSpPr>
        <xdr:cNvPr id="28" name="CasellaDiTesto 36"/>
        <xdr:cNvSpPr txBox="1">
          <a:spLocks noChangeArrowheads="1"/>
        </xdr:cNvSpPr>
      </xdr:nvSpPr>
      <xdr:spPr>
        <a:xfrm>
          <a:off x="9934575" y="12563475"/>
          <a:ext cx="1914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Acr_n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Acr_s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Acr_s</a:t>
          </a:r>
        </a:p>
      </xdr:txBody>
    </xdr:sp>
    <xdr:clientData/>
  </xdr:oneCellAnchor>
  <xdr:oneCellAnchor>
    <xdr:from>
      <xdr:col>12</xdr:col>
      <xdr:colOff>76200</xdr:colOff>
      <xdr:row>79</xdr:row>
      <xdr:rowOff>28575</xdr:rowOff>
    </xdr:from>
    <xdr:ext cx="2000250" cy="428625"/>
    <xdr:sp>
      <xdr:nvSpPr>
        <xdr:cNvPr id="29" name="CasellaDiTesto 35"/>
        <xdr:cNvSpPr txBox="1">
          <a:spLocks noChangeArrowheads="1"/>
        </xdr:cNvSpPr>
      </xdr:nvSpPr>
      <xdr:spPr>
        <a:xfrm>
          <a:off x="9963150" y="13068300"/>
          <a:ext cx="2000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Ma=1_n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Acr_n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Acr_n</a:t>
          </a:r>
        </a:p>
      </xdr:txBody>
    </xdr:sp>
    <xdr:clientData/>
  </xdr:oneCellAnchor>
  <xdr:oneCellAnchor>
    <xdr:from>
      <xdr:col>12</xdr:col>
      <xdr:colOff>390525</xdr:colOff>
      <xdr:row>47</xdr:row>
      <xdr:rowOff>85725</xdr:rowOff>
    </xdr:from>
    <xdr:ext cx="2657475" cy="552450"/>
    <xdr:sp>
      <xdr:nvSpPr>
        <xdr:cNvPr id="30" name="CasellaDiTesto 37"/>
        <xdr:cNvSpPr txBox="1">
          <a:spLocks noChangeArrowheads="1"/>
        </xdr:cNvSpPr>
      </xdr:nvSpPr>
      <xdr:spPr>
        <a:xfrm>
          <a:off x="10277475" y="7772400"/>
          <a:ext cx="2657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</a:p>
      </xdr:txBody>
    </xdr:sp>
    <xdr:clientData/>
  </xdr:oneCellAnchor>
  <xdr:oneCellAnchor>
    <xdr:from>
      <xdr:col>3</xdr:col>
      <xdr:colOff>76200</xdr:colOff>
      <xdr:row>46</xdr:row>
      <xdr:rowOff>57150</xdr:rowOff>
    </xdr:from>
    <xdr:ext cx="1962150" cy="561975"/>
    <xdr:sp>
      <xdr:nvSpPr>
        <xdr:cNvPr id="31" name="CasellaDiTesto 39"/>
        <xdr:cNvSpPr txBox="1">
          <a:spLocks noChangeArrowheads="1"/>
        </xdr:cNvSpPr>
      </xdr:nvSpPr>
      <xdr:spPr>
        <a:xfrm>
          <a:off x="2552700" y="7581900"/>
          <a:ext cx="1962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pcr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3</xdr:col>
      <xdr:colOff>171450</xdr:colOff>
      <xdr:row>52</xdr:row>
      <xdr:rowOff>9525</xdr:rowOff>
    </xdr:from>
    <xdr:ext cx="1971675" cy="438150"/>
    <xdr:sp>
      <xdr:nvSpPr>
        <xdr:cNvPr id="32" name="CasellaDiTesto 40"/>
        <xdr:cNvSpPr txBox="1">
          <a:spLocks noChangeArrowheads="1"/>
        </xdr:cNvSpPr>
      </xdr:nvSpPr>
      <xdr:spPr>
        <a:xfrm>
          <a:off x="2647950" y="8505825"/>
          <a:ext cx="1971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Toi-Tcr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</a:p>
      </xdr:txBody>
    </xdr:sp>
    <xdr:clientData/>
  </xdr:oneCellAnchor>
  <xdr:oneCellAnchor>
    <xdr:from>
      <xdr:col>3</xdr:col>
      <xdr:colOff>428625</xdr:colOff>
      <xdr:row>55</xdr:row>
      <xdr:rowOff>19050</xdr:rowOff>
    </xdr:from>
    <xdr:ext cx="981075" cy="495300"/>
    <xdr:sp>
      <xdr:nvSpPr>
        <xdr:cNvPr id="33" name="CasellaDiTesto 41"/>
        <xdr:cNvSpPr txBox="1">
          <a:spLocks noChangeArrowheads="1"/>
        </xdr:cNvSpPr>
      </xdr:nvSpPr>
      <xdr:spPr>
        <a:xfrm>
          <a:off x="2905125" y="9001125"/>
          <a:ext cx="981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=Vcr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cr</a:t>
          </a:r>
        </a:p>
      </xdr:txBody>
    </xdr:sp>
    <xdr:clientData/>
  </xdr:oneCellAnchor>
  <xdr:oneCellAnchor>
    <xdr:from>
      <xdr:col>3</xdr:col>
      <xdr:colOff>542925</xdr:colOff>
      <xdr:row>79</xdr:row>
      <xdr:rowOff>38100</xdr:rowOff>
    </xdr:from>
    <xdr:ext cx="704850" cy="438150"/>
    <xdr:sp>
      <xdr:nvSpPr>
        <xdr:cNvPr id="34" name="CasellaDiTesto 42"/>
        <xdr:cNvSpPr txBox="1">
          <a:spLocks noChangeArrowheads="1"/>
        </xdr:cNvSpPr>
      </xdr:nvSpPr>
      <xdr:spPr>
        <a:xfrm>
          <a:off x="3019425" y="13077825"/>
          <a:ext cx="704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RTcr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pcrVcr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552450</xdr:colOff>
      <xdr:row>24</xdr:row>
      <xdr:rowOff>85725</xdr:rowOff>
    </xdr:from>
    <xdr:ext cx="647700" cy="295275"/>
    <xdr:sp>
      <xdr:nvSpPr>
        <xdr:cNvPr id="1" name="CasellaDiTesto 1"/>
        <xdr:cNvSpPr txBox="1">
          <a:spLocks noChangeArrowheads="1"/>
        </xdr:cNvSpPr>
      </xdr:nvSpPr>
      <xdr:spPr>
        <a:xfrm>
          <a:off x="3028950" y="3990975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RTi</a:t>
          </a:r>
        </a:p>
      </xdr:txBody>
    </xdr:sp>
    <xdr:clientData/>
  </xdr:oneCellAnchor>
  <xdr:oneCellAnchor>
    <xdr:from>
      <xdr:col>3</xdr:col>
      <xdr:colOff>542925</xdr:colOff>
      <xdr:row>26</xdr:row>
      <xdr:rowOff>85725</xdr:rowOff>
    </xdr:from>
    <xdr:ext cx="838200" cy="266700"/>
    <xdr:sp>
      <xdr:nvSpPr>
        <xdr:cNvPr id="2" name="CasellaDiTesto 2"/>
        <xdr:cNvSpPr txBox="1">
          <a:spLocks noChangeArrowheads="1"/>
        </xdr:cNvSpPr>
      </xdr:nvSpPr>
      <xdr:spPr>
        <a:xfrm>
          <a:off x="3019425" y="4314825"/>
          <a:ext cx="838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Vi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Vi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)s</a:t>
          </a:r>
        </a:p>
      </xdr:txBody>
    </xdr:sp>
    <xdr:clientData/>
  </xdr:oneCellAnchor>
  <xdr:oneCellAnchor>
    <xdr:from>
      <xdr:col>3</xdr:col>
      <xdr:colOff>95250</xdr:colOff>
      <xdr:row>43</xdr:row>
      <xdr:rowOff>85725</xdr:rowOff>
    </xdr:from>
    <xdr:ext cx="1847850" cy="552450"/>
    <xdr:sp>
      <xdr:nvSpPr>
        <xdr:cNvPr id="3" name="CasellaDiTesto 3"/>
        <xdr:cNvSpPr txBox="1">
          <a:spLocks noChangeArrowheads="1"/>
        </xdr:cNvSpPr>
      </xdr:nvSpPr>
      <xdr:spPr>
        <a:xfrm>
          <a:off x="2571750" y="7124700"/>
          <a:ext cx="18478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</a:p>
      </xdr:txBody>
    </xdr:sp>
    <xdr:clientData/>
  </xdr:oneCellAnchor>
  <xdr:oneCellAnchor>
    <xdr:from>
      <xdr:col>3</xdr:col>
      <xdr:colOff>466725</xdr:colOff>
      <xdr:row>75</xdr:row>
      <xdr:rowOff>19050</xdr:rowOff>
    </xdr:from>
    <xdr:ext cx="1971675" cy="685800"/>
    <xdr:sp>
      <xdr:nvSpPr>
        <xdr:cNvPr id="4" name="CasellaDiTesto 4"/>
        <xdr:cNvSpPr txBox="1">
          <a:spLocks noChangeArrowheads="1"/>
        </xdr:cNvSpPr>
      </xdr:nvSpPr>
      <xdr:spPr>
        <a:xfrm>
          <a:off x="2943225" y="12392025"/>
          <a:ext cx="1971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</a:p>
      </xdr:txBody>
    </xdr:sp>
    <xdr:clientData/>
  </xdr:oneCellAnchor>
  <xdr:oneCellAnchor>
    <xdr:from>
      <xdr:col>3</xdr:col>
      <xdr:colOff>161925</xdr:colOff>
      <xdr:row>87</xdr:row>
      <xdr:rowOff>123825</xdr:rowOff>
    </xdr:from>
    <xdr:ext cx="2543175" cy="752475"/>
    <xdr:sp>
      <xdr:nvSpPr>
        <xdr:cNvPr id="5" name="CasellaDiTesto 5"/>
        <xdr:cNvSpPr txBox="1">
          <a:spLocks noChangeArrowheads="1"/>
        </xdr:cNvSpPr>
      </xdr:nvSpPr>
      <xdr:spPr>
        <a:xfrm>
          <a:off x="2638425" y="14497050"/>
          <a:ext cx="25431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)] )</a:t>
          </a:r>
        </a:p>
      </xdr:txBody>
    </xdr:sp>
    <xdr:clientData/>
  </xdr:oneCellAnchor>
  <xdr:oneCellAnchor>
    <xdr:from>
      <xdr:col>3</xdr:col>
      <xdr:colOff>285750</xdr:colOff>
      <xdr:row>92</xdr:row>
      <xdr:rowOff>66675</xdr:rowOff>
    </xdr:from>
    <xdr:ext cx="2543175" cy="581025"/>
    <xdr:sp>
      <xdr:nvSpPr>
        <xdr:cNvPr id="6" name="CasellaDiTesto 6"/>
        <xdr:cNvSpPr txBox="1">
          <a:spLocks noChangeArrowheads="1"/>
        </xdr:cNvSpPr>
      </xdr:nvSpPr>
      <xdr:spPr>
        <a:xfrm>
          <a:off x="2762250" y="15249525"/>
          <a:ext cx="2543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Mau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</a:p>
      </xdr:txBody>
    </xdr:sp>
    <xdr:clientData/>
  </xdr:oneCellAnchor>
  <xdr:oneCellAnchor>
    <xdr:from>
      <xdr:col>3</xdr:col>
      <xdr:colOff>542925</xdr:colOff>
      <xdr:row>98</xdr:row>
      <xdr:rowOff>123825</xdr:rowOff>
    </xdr:from>
    <xdr:ext cx="1314450" cy="257175"/>
    <xdr:sp>
      <xdr:nvSpPr>
        <xdr:cNvPr id="7" name="CasellaDiTesto 7"/>
        <xdr:cNvSpPr txBox="1">
          <a:spLocks noChangeArrowheads="1"/>
        </xdr:cNvSpPr>
      </xdr:nvSpPr>
      <xdr:spPr>
        <a:xfrm>
          <a:off x="3019425" y="1629727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=Acr∗(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Au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3</xdr:col>
      <xdr:colOff>200025</xdr:colOff>
      <xdr:row>30</xdr:row>
      <xdr:rowOff>85725</xdr:rowOff>
    </xdr:from>
    <xdr:ext cx="2428875" cy="552450"/>
    <xdr:sp>
      <xdr:nvSpPr>
        <xdr:cNvPr id="8" name="CasellaDiTesto 8"/>
        <xdr:cNvSpPr txBox="1">
          <a:spLocks noChangeArrowheads="1"/>
        </xdr:cNvSpPr>
      </xdr:nvSpPr>
      <xdr:spPr>
        <a:xfrm>
          <a:off x="2676525" y="4962525"/>
          <a:ext cx="2428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∕(1+(γ-1)/2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^2 )^(γ/(γ-1)) </a:t>
          </a:r>
        </a:p>
      </xdr:txBody>
    </xdr:sp>
    <xdr:clientData/>
  </xdr:oneCellAnchor>
  <xdr:oneCellAnchor>
    <xdr:from>
      <xdr:col>3</xdr:col>
      <xdr:colOff>85725</xdr:colOff>
      <xdr:row>40</xdr:row>
      <xdr:rowOff>123825</xdr:rowOff>
    </xdr:from>
    <xdr:ext cx="1962150" cy="571500"/>
    <xdr:sp>
      <xdr:nvSpPr>
        <xdr:cNvPr id="9" name="CasellaDiTesto 9"/>
        <xdr:cNvSpPr txBox="1">
          <a:spLocks noChangeArrowheads="1"/>
        </xdr:cNvSpPr>
      </xdr:nvSpPr>
      <xdr:spPr>
        <a:xfrm>
          <a:off x="2562225" y="6638925"/>
          <a:ext cx="1962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3</xdr:col>
      <xdr:colOff>542925</xdr:colOff>
      <xdr:row>86</xdr:row>
      <xdr:rowOff>85725</xdr:rowOff>
    </xdr:from>
    <xdr:ext cx="647700" cy="314325"/>
    <xdr:sp>
      <xdr:nvSpPr>
        <xdr:cNvPr id="10" name="CasellaDiTesto 10"/>
        <xdr:cNvSpPr txBox="1">
          <a:spLocks noChangeArrowheads="1"/>
        </xdr:cNvSpPr>
      </xdr:nvSpPr>
      <xdr:spPr>
        <a:xfrm>
          <a:off x="3019425" y="14297025"/>
          <a:ext cx="647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RTu</a:t>
          </a:r>
        </a:p>
      </xdr:txBody>
    </xdr:sp>
    <xdr:clientData/>
  </xdr:oneCellAnchor>
  <xdr:oneCellAnchor>
    <xdr:from>
      <xdr:col>3</xdr:col>
      <xdr:colOff>542925</xdr:colOff>
      <xdr:row>84</xdr:row>
      <xdr:rowOff>95250</xdr:rowOff>
    </xdr:from>
    <xdr:ext cx="914400" cy="285750"/>
    <xdr:sp>
      <xdr:nvSpPr>
        <xdr:cNvPr id="11" name="CasellaDiTesto 11"/>
        <xdr:cNvSpPr txBox="1">
          <a:spLocks noChangeArrowheads="1"/>
        </xdr:cNvSpPr>
      </xdr:nvSpPr>
      <xdr:spPr>
        <a:xfrm>
          <a:off x="3019425" y="13982700"/>
          <a:ext cx="914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 Mau</a:t>
          </a:r>
        </a:p>
      </xdr:txBody>
    </xdr:sp>
    <xdr:clientData/>
  </xdr:oneCellAnchor>
  <xdr:oneCellAnchor>
    <xdr:from>
      <xdr:col>3</xdr:col>
      <xdr:colOff>495300</xdr:colOff>
      <xdr:row>37</xdr:row>
      <xdr:rowOff>9525</xdr:rowOff>
    </xdr:from>
    <xdr:ext cx="733425" cy="447675"/>
    <xdr:sp>
      <xdr:nvSpPr>
        <xdr:cNvPr id="12" name="CasellaDiTesto 12"/>
        <xdr:cNvSpPr txBox="1">
          <a:spLocks noChangeArrowheads="1"/>
        </xdr:cNvSpPr>
      </xdr:nvSpPr>
      <xdr:spPr>
        <a:xfrm>
          <a:off x="2971800" y="6019800"/>
          <a:ext cx="733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piVi</a:t>
          </a:r>
        </a:p>
      </xdr:txBody>
    </xdr:sp>
    <xdr:clientData/>
  </xdr:oneCellAnchor>
  <xdr:oneCellAnchor>
    <xdr:from>
      <xdr:col>3</xdr:col>
      <xdr:colOff>523875</xdr:colOff>
      <xdr:row>96</xdr:row>
      <xdr:rowOff>28575</xdr:rowOff>
    </xdr:from>
    <xdr:ext cx="695325" cy="438150"/>
    <xdr:sp>
      <xdr:nvSpPr>
        <xdr:cNvPr id="13" name="CasellaDiTesto 13"/>
        <xdr:cNvSpPr txBox="1">
          <a:spLocks noChangeArrowheads="1"/>
        </xdr:cNvSpPr>
      </xdr:nvSpPr>
      <xdr:spPr>
        <a:xfrm>
          <a:off x="3000375" y="15859125"/>
          <a:ext cx="6953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puVu</a:t>
          </a:r>
        </a:p>
      </xdr:txBody>
    </xdr:sp>
    <xdr:clientData/>
  </xdr:oneCellAnchor>
  <xdr:oneCellAnchor>
    <xdr:from>
      <xdr:col>0</xdr:col>
      <xdr:colOff>438150</xdr:colOff>
      <xdr:row>29</xdr:row>
      <xdr:rowOff>9525</xdr:rowOff>
    </xdr:from>
    <xdr:ext cx="1028700" cy="409575"/>
    <xdr:sp>
      <xdr:nvSpPr>
        <xdr:cNvPr id="14" name="CasellaDiTesto 14"/>
        <xdr:cNvSpPr txBox="1">
          <a:spLocks noChangeArrowheads="1"/>
        </xdr:cNvSpPr>
      </xdr:nvSpPr>
      <xdr:spPr>
        <a:xfrm>
          <a:off x="438150" y="4724400"/>
          <a:ext cx="1028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</a:p>
      </xdr:txBody>
    </xdr:sp>
    <xdr:clientData/>
  </xdr:oneCellAnchor>
  <xdr:oneCellAnchor>
    <xdr:from>
      <xdr:col>12</xdr:col>
      <xdr:colOff>9525</xdr:colOff>
      <xdr:row>40</xdr:row>
      <xdr:rowOff>104775</xdr:rowOff>
    </xdr:from>
    <xdr:ext cx="1952625" cy="571500"/>
    <xdr:sp>
      <xdr:nvSpPr>
        <xdr:cNvPr id="15" name="CasellaDiTesto 15"/>
        <xdr:cNvSpPr txBox="1">
          <a:spLocks noChangeArrowheads="1"/>
        </xdr:cNvSpPr>
      </xdr:nvSpPr>
      <xdr:spPr>
        <a:xfrm>
          <a:off x="9896475" y="6619875"/>
          <a:ext cx="1952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12</xdr:col>
      <xdr:colOff>409575</xdr:colOff>
      <xdr:row>43</xdr:row>
      <xdr:rowOff>76200</xdr:rowOff>
    </xdr:from>
    <xdr:ext cx="2657475" cy="552450"/>
    <xdr:sp>
      <xdr:nvSpPr>
        <xdr:cNvPr id="16" name="CasellaDiTesto 16"/>
        <xdr:cNvSpPr txBox="1">
          <a:spLocks noChangeArrowheads="1"/>
        </xdr:cNvSpPr>
      </xdr:nvSpPr>
      <xdr:spPr>
        <a:xfrm>
          <a:off x="10296525" y="7115175"/>
          <a:ext cx="2657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</a:p>
      </xdr:txBody>
    </xdr:sp>
    <xdr:clientData/>
  </xdr:oneCellAnchor>
  <xdr:oneCellAnchor>
    <xdr:from>
      <xdr:col>12</xdr:col>
      <xdr:colOff>85725</xdr:colOff>
      <xdr:row>51</xdr:row>
      <xdr:rowOff>66675</xdr:rowOff>
    </xdr:from>
    <xdr:ext cx="2009775" cy="590550"/>
    <xdr:sp>
      <xdr:nvSpPr>
        <xdr:cNvPr id="17" name="CasellaDiTesto 17"/>
        <xdr:cNvSpPr txBox="1">
          <a:spLocks noChangeArrowheads="1"/>
        </xdr:cNvSpPr>
      </xdr:nvSpPr>
      <xdr:spPr>
        <a:xfrm>
          <a:off x="9972675" y="8401050"/>
          <a:ext cx="2009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 Toi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11</xdr:col>
      <xdr:colOff>571500</xdr:colOff>
      <xdr:row>54</xdr:row>
      <xdr:rowOff>76200</xdr:rowOff>
    </xdr:from>
    <xdr:ext cx="1924050" cy="590550"/>
    <xdr:sp>
      <xdr:nvSpPr>
        <xdr:cNvPr id="18" name="CasellaDiTesto 18"/>
        <xdr:cNvSpPr txBox="1">
          <a:spLocks noChangeArrowheads="1"/>
        </xdr:cNvSpPr>
      </xdr:nvSpPr>
      <xdr:spPr>
        <a:xfrm>
          <a:off x="9791700" y="8896350"/>
          <a:ext cx="1924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</a:p>
      </xdr:txBody>
    </xdr:sp>
    <xdr:clientData/>
  </xdr:oneCellAnchor>
  <xdr:oneCellAnchor>
    <xdr:from>
      <xdr:col>12</xdr:col>
      <xdr:colOff>219075</xdr:colOff>
      <xdr:row>57</xdr:row>
      <xdr:rowOff>123825</xdr:rowOff>
    </xdr:from>
    <xdr:ext cx="2000250" cy="762000"/>
    <xdr:sp>
      <xdr:nvSpPr>
        <xdr:cNvPr id="19" name="CasellaDiTesto 19"/>
        <xdr:cNvSpPr txBox="1">
          <a:spLocks noChangeArrowheads="1"/>
        </xdr:cNvSpPr>
      </xdr:nvSpPr>
      <xdr:spPr>
        <a:xfrm>
          <a:off x="10106025" y="9429750"/>
          <a:ext cx="2000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 )</a:t>
          </a:r>
        </a:p>
      </xdr:txBody>
    </xdr:sp>
    <xdr:clientData/>
  </xdr:oneCellAnchor>
  <xdr:oneCellAnchor>
    <xdr:from>
      <xdr:col>12</xdr:col>
      <xdr:colOff>428625</xdr:colOff>
      <xdr:row>62</xdr:row>
      <xdr:rowOff>9525</xdr:rowOff>
    </xdr:from>
    <xdr:ext cx="1924050" cy="1038225"/>
    <xdr:sp>
      <xdr:nvSpPr>
        <xdr:cNvPr id="20" name="CasellaDiTesto 20"/>
        <xdr:cNvSpPr txBox="1">
          <a:spLocks noChangeArrowheads="1"/>
        </xdr:cNvSpPr>
      </xdr:nvSpPr>
      <xdr:spPr>
        <a:xfrm>
          <a:off x="10315575" y="10163175"/>
          <a:ext cx="19240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 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 </a:t>
          </a:r>
        </a:p>
      </xdr:txBody>
    </xdr:sp>
    <xdr:clientData/>
  </xdr:oneCellAnchor>
  <xdr:oneCellAnchor>
    <xdr:from>
      <xdr:col>12</xdr:col>
      <xdr:colOff>161925</xdr:colOff>
      <xdr:row>71</xdr:row>
      <xdr:rowOff>19050</xdr:rowOff>
    </xdr:from>
    <xdr:ext cx="1981200" cy="447675"/>
    <xdr:sp>
      <xdr:nvSpPr>
        <xdr:cNvPr id="21" name="CasellaDiTesto 21"/>
        <xdr:cNvSpPr txBox="1">
          <a:spLocks noChangeArrowheads="1"/>
        </xdr:cNvSpPr>
      </xdr:nvSpPr>
      <xdr:spPr>
        <a:xfrm>
          <a:off x="10048875" y="11744325"/>
          <a:ext cx="1981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Acr_n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Ma=1_n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Ma=1_n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Acr_s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12</xdr:col>
      <xdr:colOff>514350</xdr:colOff>
      <xdr:row>86</xdr:row>
      <xdr:rowOff>76200</xdr:rowOff>
    </xdr:from>
    <xdr:ext cx="657225" cy="295275"/>
    <xdr:sp>
      <xdr:nvSpPr>
        <xdr:cNvPr id="22" name="CasellaDiTesto 22"/>
        <xdr:cNvSpPr txBox="1">
          <a:spLocks noChangeArrowheads="1"/>
        </xdr:cNvSpPr>
      </xdr:nvSpPr>
      <xdr:spPr>
        <a:xfrm>
          <a:off x="10401300" y="14287500"/>
          <a:ext cx="657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RTu</a:t>
          </a:r>
        </a:p>
      </xdr:txBody>
    </xdr:sp>
    <xdr:clientData/>
  </xdr:oneCellAnchor>
  <xdr:oneCellAnchor>
    <xdr:from>
      <xdr:col>12</xdr:col>
      <xdr:colOff>123825</xdr:colOff>
      <xdr:row>82</xdr:row>
      <xdr:rowOff>19050</xdr:rowOff>
    </xdr:from>
    <xdr:ext cx="2000250" cy="428625"/>
    <xdr:sp>
      <xdr:nvSpPr>
        <xdr:cNvPr id="23" name="CasellaDiTesto 23"/>
        <xdr:cNvSpPr txBox="1">
          <a:spLocks noChangeArrowheads="1"/>
        </xdr:cNvSpPr>
      </xdr:nvSpPr>
      <xdr:spPr>
        <a:xfrm>
          <a:off x="10010775" y="13582650"/>
          <a:ext cx="2000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Toi-Tu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</a:p>
      </xdr:txBody>
    </xdr:sp>
    <xdr:clientData/>
  </xdr:oneCellAnchor>
  <xdr:oneCellAnchor>
    <xdr:from>
      <xdr:col>3</xdr:col>
      <xdr:colOff>161925</xdr:colOff>
      <xdr:row>82</xdr:row>
      <xdr:rowOff>19050</xdr:rowOff>
    </xdr:from>
    <xdr:ext cx="1971675" cy="428625"/>
    <xdr:sp>
      <xdr:nvSpPr>
        <xdr:cNvPr id="24" name="CasellaDiTesto 24"/>
        <xdr:cNvSpPr txBox="1">
          <a:spLocks noChangeArrowheads="1"/>
        </xdr:cNvSpPr>
      </xdr:nvSpPr>
      <xdr:spPr>
        <a:xfrm>
          <a:off x="2638425" y="13582650"/>
          <a:ext cx="1971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Toi-Tu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</a:p>
      </xdr:txBody>
    </xdr:sp>
    <xdr:clientData/>
  </xdr:oneCellAnchor>
  <xdr:oneCellAnchor>
    <xdr:from>
      <xdr:col>11</xdr:col>
      <xdr:colOff>542925</xdr:colOff>
      <xdr:row>89</xdr:row>
      <xdr:rowOff>19050</xdr:rowOff>
    </xdr:from>
    <xdr:ext cx="1924050" cy="438150"/>
    <xdr:sp>
      <xdr:nvSpPr>
        <xdr:cNvPr id="25" name="CasellaDiTesto 25"/>
        <xdr:cNvSpPr txBox="1">
          <a:spLocks noChangeArrowheads="1"/>
        </xdr:cNvSpPr>
      </xdr:nvSpPr>
      <xdr:spPr>
        <a:xfrm>
          <a:off x="9763125" y="14716125"/>
          <a:ext cx="1924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=Vu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</a:p>
      </xdr:txBody>
    </xdr:sp>
    <xdr:clientData/>
  </xdr:oneCellAnchor>
  <xdr:oneCellAnchor>
    <xdr:from>
      <xdr:col>12</xdr:col>
      <xdr:colOff>485775</xdr:colOff>
      <xdr:row>96</xdr:row>
      <xdr:rowOff>38100</xdr:rowOff>
    </xdr:from>
    <xdr:ext cx="723900" cy="438150"/>
    <xdr:sp>
      <xdr:nvSpPr>
        <xdr:cNvPr id="26" name="CasellaDiTesto 26"/>
        <xdr:cNvSpPr txBox="1">
          <a:spLocks noChangeArrowheads="1"/>
        </xdr:cNvSpPr>
      </xdr:nvSpPr>
      <xdr:spPr>
        <a:xfrm>
          <a:off x="10372725" y="15868650"/>
          <a:ext cx="723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puVu</a:t>
          </a:r>
        </a:p>
      </xdr:txBody>
    </xdr:sp>
    <xdr:clientData/>
  </xdr:oneCellAnchor>
  <xdr:oneCellAnchor>
    <xdr:from>
      <xdr:col>12</xdr:col>
      <xdr:colOff>47625</xdr:colOff>
      <xdr:row>76</xdr:row>
      <xdr:rowOff>28575</xdr:rowOff>
    </xdr:from>
    <xdr:ext cx="1914525" cy="419100"/>
    <xdr:sp>
      <xdr:nvSpPr>
        <xdr:cNvPr id="27" name="CasellaDiTesto 27"/>
        <xdr:cNvSpPr txBox="1">
          <a:spLocks noChangeArrowheads="1"/>
        </xdr:cNvSpPr>
      </xdr:nvSpPr>
      <xdr:spPr>
        <a:xfrm>
          <a:off x="9934575" y="12563475"/>
          <a:ext cx="1914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Acr_n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Acr_s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Acr_s</a:t>
          </a:r>
        </a:p>
      </xdr:txBody>
    </xdr:sp>
    <xdr:clientData/>
  </xdr:oneCellAnchor>
  <xdr:oneCellAnchor>
    <xdr:from>
      <xdr:col>12</xdr:col>
      <xdr:colOff>85725</xdr:colOff>
      <xdr:row>79</xdr:row>
      <xdr:rowOff>28575</xdr:rowOff>
    </xdr:from>
    <xdr:ext cx="1990725" cy="428625"/>
    <xdr:sp>
      <xdr:nvSpPr>
        <xdr:cNvPr id="28" name="CasellaDiTesto 28"/>
        <xdr:cNvSpPr txBox="1">
          <a:spLocks noChangeArrowheads="1"/>
        </xdr:cNvSpPr>
      </xdr:nvSpPr>
      <xdr:spPr>
        <a:xfrm>
          <a:off x="9972675" y="13068300"/>
          <a:ext cx="1990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Ma=1_n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Acr_n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Acr_n</a:t>
          </a:r>
        </a:p>
      </xdr:txBody>
    </xdr:sp>
    <xdr:clientData/>
  </xdr:oneCellAnchor>
  <xdr:oneCellAnchor>
    <xdr:from>
      <xdr:col>3</xdr:col>
      <xdr:colOff>47625</xdr:colOff>
      <xdr:row>21</xdr:row>
      <xdr:rowOff>161925</xdr:rowOff>
    </xdr:from>
    <xdr:ext cx="1895475" cy="485775"/>
    <xdr:sp>
      <xdr:nvSpPr>
        <xdr:cNvPr id="29" name="CasellaDiTesto 29"/>
        <xdr:cNvSpPr txBox="1">
          <a:spLocks noChangeArrowheads="1"/>
        </xdr:cNvSpPr>
      </xdr:nvSpPr>
      <xdr:spPr>
        <a:xfrm>
          <a:off x="2524125" y="3581400"/>
          <a:ext cx="1895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</a:p>
      </xdr:txBody>
    </xdr:sp>
    <xdr:clientData/>
  </xdr:oneCellAnchor>
  <xdr:oneCellAnchor>
    <xdr:from>
      <xdr:col>12</xdr:col>
      <xdr:colOff>400050</xdr:colOff>
      <xdr:row>47</xdr:row>
      <xdr:rowOff>85725</xdr:rowOff>
    </xdr:from>
    <xdr:ext cx="2657475" cy="552450"/>
    <xdr:sp>
      <xdr:nvSpPr>
        <xdr:cNvPr id="30" name="CasellaDiTesto 30"/>
        <xdr:cNvSpPr txBox="1">
          <a:spLocks noChangeArrowheads="1"/>
        </xdr:cNvSpPr>
      </xdr:nvSpPr>
      <xdr:spPr>
        <a:xfrm>
          <a:off x="10287000" y="7772400"/>
          <a:ext cx="2657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Mai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</a:p>
      </xdr:txBody>
    </xdr:sp>
    <xdr:clientData/>
  </xdr:oneCellAnchor>
  <xdr:oneCellAnchor>
    <xdr:from>
      <xdr:col>3</xdr:col>
      <xdr:colOff>85725</xdr:colOff>
      <xdr:row>46</xdr:row>
      <xdr:rowOff>66675</xdr:rowOff>
    </xdr:from>
    <xdr:ext cx="1971675" cy="561975"/>
    <xdr:sp>
      <xdr:nvSpPr>
        <xdr:cNvPr id="31" name="CasellaDiTesto 31"/>
        <xdr:cNvSpPr txBox="1">
          <a:spLocks noChangeArrowheads="1"/>
        </xdr:cNvSpPr>
      </xdr:nvSpPr>
      <xdr:spPr>
        <a:xfrm>
          <a:off x="2562225" y="7591425"/>
          <a:ext cx="1971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pcr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poi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γ-1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3</xdr:col>
      <xdr:colOff>190500</xdr:colOff>
      <xdr:row>52</xdr:row>
      <xdr:rowOff>9525</xdr:rowOff>
    </xdr:from>
    <xdr:ext cx="1971675" cy="438150"/>
    <xdr:sp>
      <xdr:nvSpPr>
        <xdr:cNvPr id="32" name="CasellaDiTesto 32"/>
        <xdr:cNvSpPr txBox="1">
          <a:spLocks noChangeArrowheads="1"/>
        </xdr:cNvSpPr>
      </xdr:nvSpPr>
      <xdr:spPr>
        <a:xfrm>
          <a:off x="2667000" y="8505825"/>
          <a:ext cx="1971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Toi-Tcr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</a:p>
      </xdr:txBody>
    </xdr:sp>
    <xdr:clientData/>
  </xdr:oneCellAnchor>
  <xdr:oneCellAnchor>
    <xdr:from>
      <xdr:col>3</xdr:col>
      <xdr:colOff>542925</xdr:colOff>
      <xdr:row>79</xdr:row>
      <xdr:rowOff>38100</xdr:rowOff>
    </xdr:from>
    <xdr:ext cx="704850" cy="438150"/>
    <xdr:sp>
      <xdr:nvSpPr>
        <xdr:cNvPr id="33" name="CasellaDiTesto 33"/>
        <xdr:cNvSpPr txBox="1">
          <a:spLocks noChangeArrowheads="1"/>
        </xdr:cNvSpPr>
      </xdr:nvSpPr>
      <xdr:spPr>
        <a:xfrm>
          <a:off x="3019425" y="13077825"/>
          <a:ext cx="704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RTcr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pcrVcr</a:t>
          </a:r>
        </a:p>
      </xdr:txBody>
    </xdr:sp>
    <xdr:clientData/>
  </xdr:oneCellAnchor>
  <xdr:oneCellAnchor>
    <xdr:from>
      <xdr:col>3</xdr:col>
      <xdr:colOff>428625</xdr:colOff>
      <xdr:row>55</xdr:row>
      <xdr:rowOff>19050</xdr:rowOff>
    </xdr:from>
    <xdr:ext cx="981075" cy="495300"/>
    <xdr:sp>
      <xdr:nvSpPr>
        <xdr:cNvPr id="34" name="CasellaDiTesto 34"/>
        <xdr:cNvSpPr txBox="1">
          <a:spLocks noChangeArrowheads="1"/>
        </xdr:cNvSpPr>
      </xdr:nvSpPr>
      <xdr:spPr>
        <a:xfrm>
          <a:off x="2905125" y="9001125"/>
          <a:ext cx="981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=Vcr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γ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9"/>
  <sheetViews>
    <sheetView tabSelected="1" zoomScalePageLayoutView="0" workbookViewId="0" topLeftCell="A37">
      <selection activeCell="N65" sqref="N65"/>
    </sheetView>
  </sheetViews>
  <sheetFormatPr defaultColWidth="9.140625" defaultRowHeight="12.75"/>
  <cols>
    <col min="2" max="2" width="10.421875" style="0" customWidth="1"/>
    <col min="3" max="3" width="10.57421875" style="0" bestFit="1" customWidth="1"/>
    <col min="4" max="4" width="9.57421875" style="0" bestFit="1" customWidth="1"/>
    <col min="6" max="6" width="10.8515625" style="0" customWidth="1"/>
    <col min="9" max="9" width="9.57421875" style="0" bestFit="1" customWidth="1"/>
    <col min="10" max="10" width="10.57421875" style="0" bestFit="1" customWidth="1"/>
    <col min="13" max="13" width="10.140625" style="0" customWidth="1"/>
    <col min="14" max="14" width="10.00390625" style="0" customWidth="1"/>
  </cols>
  <sheetData>
    <row r="2" ht="12.75">
      <c r="B2" s="1" t="s">
        <v>29</v>
      </c>
    </row>
    <row r="5" ht="12.75">
      <c r="B5" s="7"/>
    </row>
    <row r="6" ht="12.75">
      <c r="B6" s="1" t="s">
        <v>33</v>
      </c>
    </row>
    <row r="7" ht="12.75">
      <c r="B7" s="1"/>
    </row>
    <row r="8" spans="2:4" ht="12.75">
      <c r="B8" s="8" t="s">
        <v>18</v>
      </c>
      <c r="C8" s="2">
        <v>50</v>
      </c>
      <c r="D8" t="s">
        <v>0</v>
      </c>
    </row>
    <row r="9" spans="2:6" ht="12.75">
      <c r="B9" s="8" t="s">
        <v>12</v>
      </c>
      <c r="C9">
        <v>1000</v>
      </c>
      <c r="D9" t="s">
        <v>1</v>
      </c>
      <c r="E9" s="10">
        <f>C9+273.15</f>
        <v>1273.15</v>
      </c>
      <c r="F9" s="8" t="s">
        <v>2</v>
      </c>
    </row>
    <row r="10" spans="2:6" ht="12.75">
      <c r="B10" s="8" t="s">
        <v>8</v>
      </c>
      <c r="C10">
        <v>1000000</v>
      </c>
      <c r="D10" t="s">
        <v>3</v>
      </c>
      <c r="E10" s="10">
        <f>C10/10^5</f>
        <v>10</v>
      </c>
      <c r="F10" s="8" t="s">
        <v>9</v>
      </c>
    </row>
    <row r="11" spans="2:6" ht="12.75">
      <c r="B11" s="8" t="s">
        <v>14</v>
      </c>
      <c r="C11">
        <v>50</v>
      </c>
      <c r="D11" s="8" t="s">
        <v>15</v>
      </c>
      <c r="E11" s="10"/>
      <c r="F11" s="8"/>
    </row>
    <row r="12" spans="2:6" ht="12.75">
      <c r="B12" s="8" t="s">
        <v>13</v>
      </c>
      <c r="C12">
        <v>100000</v>
      </c>
      <c r="D12" s="8" t="s">
        <v>3</v>
      </c>
      <c r="E12" s="10">
        <f>C12/10^5</f>
        <v>1</v>
      </c>
      <c r="F12" s="8" t="s">
        <v>9</v>
      </c>
    </row>
    <row r="13" spans="2:6" ht="12.75">
      <c r="B13" s="8"/>
      <c r="E13" s="10"/>
      <c r="F13" s="8"/>
    </row>
    <row r="14" spans="2:6" ht="12.75">
      <c r="B14" s="8" t="s">
        <v>10</v>
      </c>
      <c r="C14" s="16">
        <v>287</v>
      </c>
      <c r="D14" s="8" t="s">
        <v>11</v>
      </c>
      <c r="E14" s="10">
        <f>C14/1000</f>
        <v>0.287</v>
      </c>
      <c r="F14" s="8" t="s">
        <v>4</v>
      </c>
    </row>
    <row r="15" spans="2:5" ht="12.75">
      <c r="B15" s="4" t="s">
        <v>6</v>
      </c>
      <c r="C15" s="3">
        <v>1.4</v>
      </c>
      <c r="E15" s="10"/>
    </row>
    <row r="16" spans="2:5" ht="12.75">
      <c r="B16" s="4" t="s">
        <v>20</v>
      </c>
      <c r="C16" s="15">
        <f>C15-1</f>
        <v>0.3999999999999999</v>
      </c>
      <c r="E16" s="10"/>
    </row>
    <row r="17" spans="2:6" ht="12.75">
      <c r="B17" s="8" t="s">
        <v>5</v>
      </c>
      <c r="C17" s="10">
        <f>C15*C14/C16</f>
        <v>1004.5000000000001</v>
      </c>
      <c r="D17" s="8" t="s">
        <v>11</v>
      </c>
      <c r="E17" s="10">
        <f>C17/1000</f>
        <v>1.0045000000000002</v>
      </c>
      <c r="F17" s="8" t="s">
        <v>4</v>
      </c>
    </row>
    <row r="18" ht="12.75">
      <c r="B18" s="8"/>
    </row>
    <row r="19" ht="12.75">
      <c r="B19" s="8"/>
    </row>
    <row r="21" ht="12.75">
      <c r="B21" s="1" t="s">
        <v>7</v>
      </c>
    </row>
    <row r="23" spans="2:6" ht="14.25">
      <c r="B23" s="8" t="s">
        <v>34</v>
      </c>
      <c r="C23" s="9">
        <f>C8*C14*E9/(C10*C11)</f>
        <v>0.36539405</v>
      </c>
      <c r="D23" s="8" t="s">
        <v>25</v>
      </c>
      <c r="E23" s="9"/>
      <c r="F23" s="8"/>
    </row>
    <row r="24" ht="12.75">
      <c r="B24" s="1"/>
    </row>
    <row r="25" spans="2:6" ht="12.75">
      <c r="B25" s="8" t="s">
        <v>16</v>
      </c>
      <c r="C25" s="9">
        <f>(C15*C14*E9)^0.5</f>
        <v>715.228404078026</v>
      </c>
      <c r="D25" s="8" t="s">
        <v>15</v>
      </c>
      <c r="E25" s="9"/>
      <c r="F25" s="8"/>
    </row>
    <row r="26" spans="2:6" ht="12.75">
      <c r="B26" s="8"/>
      <c r="C26" s="9"/>
      <c r="D26" s="8"/>
      <c r="E26" s="9"/>
      <c r="F26" s="8"/>
    </row>
    <row r="27" spans="2:6" ht="12.75">
      <c r="B27" s="8" t="s">
        <v>17</v>
      </c>
      <c r="C27" s="9">
        <f>C11/C25</f>
        <v>0.0699077381643604</v>
      </c>
      <c r="E27" s="9"/>
      <c r="F27" s="8"/>
    </row>
    <row r="28" spans="2:6" ht="12.75">
      <c r="B28" s="8"/>
      <c r="C28" s="9"/>
      <c r="D28" s="8"/>
      <c r="E28" s="9"/>
      <c r="F28" s="8"/>
    </row>
    <row r="29" spans="2:6" ht="12.75">
      <c r="B29" s="8"/>
      <c r="C29" s="9"/>
      <c r="E29" s="9"/>
      <c r="F29" s="8"/>
    </row>
    <row r="30" spans="2:4" ht="12.75">
      <c r="B30" s="8" t="s">
        <v>19</v>
      </c>
      <c r="C30" s="11">
        <f>E9*(1+0.5*C16*C27^2)</f>
        <v>1274.3944001991042</v>
      </c>
      <c r="D30" s="8" t="s">
        <v>2</v>
      </c>
    </row>
    <row r="31" spans="2:4" ht="12.75">
      <c r="B31" s="8"/>
      <c r="C31" s="11"/>
      <c r="D31" s="8"/>
    </row>
    <row r="32" spans="2:4" ht="12.75">
      <c r="B32" s="8"/>
      <c r="C32" s="11"/>
      <c r="D32" s="8"/>
    </row>
    <row r="33" spans="2:4" ht="12.75">
      <c r="B33" s="8" t="s">
        <v>21</v>
      </c>
      <c r="C33" s="12">
        <f>C10*(1+0.5*C16*C27^2)^(C15/C16)</f>
        <v>1003425.1459832488</v>
      </c>
      <c r="D33" s="8" t="s">
        <v>3</v>
      </c>
    </row>
    <row r="34" spans="2:4" ht="12.75">
      <c r="B34" s="8"/>
      <c r="C34" s="12"/>
      <c r="D34" s="8"/>
    </row>
    <row r="35" spans="2:3" ht="12.75">
      <c r="B35" s="8" t="s">
        <v>23</v>
      </c>
      <c r="C35" s="13">
        <f>C12/C33</f>
        <v>0.09965865455963907</v>
      </c>
    </row>
    <row r="36" spans="2:3" ht="12.75">
      <c r="B36" s="8"/>
      <c r="C36" s="13"/>
    </row>
    <row r="37" spans="2:4" ht="12.75">
      <c r="B37" s="8" t="s">
        <v>30</v>
      </c>
      <c r="C37" s="11">
        <f>C30*(C35)^(C16/C15)</f>
        <v>659.4248187863218</v>
      </c>
      <c r="D37" s="8" t="s">
        <v>2</v>
      </c>
    </row>
    <row r="38" spans="2:3" ht="12.75">
      <c r="B38" s="8"/>
      <c r="C38" s="13"/>
    </row>
    <row r="39" spans="2:3" ht="12.75">
      <c r="B39" s="8"/>
      <c r="C39" s="13"/>
    </row>
    <row r="40" spans="2:3" ht="12.75">
      <c r="B40" s="8" t="s">
        <v>24</v>
      </c>
      <c r="C40" s="13">
        <f>(2/(C15+1))^(C15/C16)</f>
        <v>0.5282817877171742</v>
      </c>
    </row>
    <row r="41" spans="2:3" ht="12.75">
      <c r="B41" s="8"/>
      <c r="C41" s="13"/>
    </row>
    <row r="42" spans="2:3" ht="12.75">
      <c r="B42" s="8"/>
      <c r="C42" s="13"/>
    </row>
    <row r="43" spans="2:3" ht="12.75">
      <c r="B43" s="8"/>
      <c r="C43" s="13"/>
    </row>
    <row r="44" spans="2:4" ht="14.25">
      <c r="B44" s="8" t="s">
        <v>22</v>
      </c>
      <c r="C44" s="13">
        <f>(C8/C33)*((C30*C14/C15)^0.5)*((C15+1)/2)^((C15+1)/(2*C16))</f>
        <v>0.04401063349780411</v>
      </c>
      <c r="D44" s="8" t="s">
        <v>25</v>
      </c>
    </row>
    <row r="45" spans="2:4" ht="12.75">
      <c r="B45" s="8"/>
      <c r="C45" s="13"/>
      <c r="D45" s="8"/>
    </row>
    <row r="46" spans="2:4" ht="12.75">
      <c r="B46" s="8"/>
      <c r="C46" s="13"/>
      <c r="D46" s="8"/>
    </row>
    <row r="47" spans="2:4" ht="12.75">
      <c r="B47" s="8"/>
      <c r="C47" s="13"/>
      <c r="D47" s="8"/>
    </row>
    <row r="48" spans="2:4" ht="12.75">
      <c r="B48" s="8"/>
      <c r="C48" s="13"/>
      <c r="D48" s="8"/>
    </row>
    <row r="49" spans="2:3" ht="12.75">
      <c r="B49" s="8" t="s">
        <v>26</v>
      </c>
      <c r="C49" s="9">
        <f>((2/C16)*(C35^(-C16/C15)-1))^0.5</f>
        <v>2.1593804994863777</v>
      </c>
    </row>
    <row r="50" spans="2:3" ht="12.75">
      <c r="B50" s="8"/>
      <c r="C50" s="9"/>
    </row>
    <row r="51" spans="2:3" ht="12.75">
      <c r="B51" s="8"/>
      <c r="C51" s="9"/>
    </row>
    <row r="52" spans="2:3" ht="12.75">
      <c r="B52" s="8"/>
      <c r="C52" s="9"/>
    </row>
    <row r="53" spans="2:6" ht="12.75">
      <c r="B53" s="8" t="s">
        <v>31</v>
      </c>
      <c r="C53" s="9">
        <f>(C15*C14*C37)^0.5</f>
        <v>514.739635338434</v>
      </c>
      <c r="D53" s="8" t="s">
        <v>15</v>
      </c>
      <c r="E53" s="9"/>
      <c r="F53" s="8"/>
    </row>
    <row r="54" spans="2:6" ht="12.75">
      <c r="B54" s="8"/>
      <c r="C54" s="9"/>
      <c r="D54" s="8"/>
      <c r="E54" s="9"/>
      <c r="F54" s="8"/>
    </row>
    <row r="55" spans="2:9" ht="12.75">
      <c r="B55" s="8" t="s">
        <v>32</v>
      </c>
      <c r="C55" s="9">
        <f>C53*C49</f>
        <v>1111.5187308625436</v>
      </c>
      <c r="D55" s="8" t="s">
        <v>15</v>
      </c>
      <c r="E55" s="9"/>
      <c r="F55" s="8"/>
      <c r="H55" s="30">
        <f>C8*C14*C37/(C12*C61)</f>
        <v>1111.5187308625439</v>
      </c>
      <c r="I55" s="8" t="s">
        <v>15</v>
      </c>
    </row>
    <row r="56" spans="2:3" ht="12.75">
      <c r="B56" s="8"/>
      <c r="C56" s="9"/>
    </row>
    <row r="57" spans="2:3" ht="12.75">
      <c r="B57" s="8"/>
      <c r="C57" s="9"/>
    </row>
    <row r="58" spans="2:3" ht="12.75">
      <c r="B58" s="8" t="s">
        <v>27</v>
      </c>
      <c r="C58" s="13">
        <f>(((2+C16*C49^2)/((C15+1)))^((C15+1)/(2*C16)))/C49</f>
        <v>1.934384413486552</v>
      </c>
    </row>
    <row r="59" spans="2:3" ht="12.75">
      <c r="B59" s="8"/>
      <c r="C59" s="13"/>
    </row>
    <row r="60" spans="2:3" ht="12.75">
      <c r="B60" s="8"/>
      <c r="C60" s="13"/>
    </row>
    <row r="61" spans="2:9" ht="14.25">
      <c r="B61" s="8" t="s">
        <v>28</v>
      </c>
      <c r="C61" s="13">
        <f>C58*C44</f>
        <v>0.0851334834658214</v>
      </c>
      <c r="D61" s="8" t="s">
        <v>25</v>
      </c>
      <c r="H61" s="14">
        <f>C8*C14*C37/(C12*C55)</f>
        <v>0.08513348346582143</v>
      </c>
      <c r="I61" s="8" t="s">
        <v>25</v>
      </c>
    </row>
    <row r="63" ht="12.75">
      <c r="B63" s="4"/>
    </row>
    <row r="64" ht="12.75">
      <c r="B64" s="5"/>
    </row>
    <row r="65" spans="2:3" ht="12.75">
      <c r="B65" s="5"/>
      <c r="C65" s="3"/>
    </row>
    <row r="67" ht="12.75">
      <c r="D67" s="6"/>
    </row>
    <row r="68" ht="12.75">
      <c r="B68" s="4"/>
    </row>
    <row r="69" ht="12.75">
      <c r="B69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02"/>
  <sheetViews>
    <sheetView zoomScalePageLayoutView="0" workbookViewId="0" topLeftCell="A52">
      <selection activeCell="G35" sqref="G35:H35"/>
    </sheetView>
  </sheetViews>
  <sheetFormatPr defaultColWidth="9.140625" defaultRowHeight="12.75"/>
  <cols>
    <col min="2" max="2" width="10.421875" style="0" customWidth="1"/>
    <col min="3" max="3" width="17.57421875" style="0" customWidth="1"/>
    <col min="4" max="4" width="9.57421875" style="0" bestFit="1" customWidth="1"/>
    <col min="6" max="6" width="10.8515625" style="0" customWidth="1"/>
    <col min="7" max="7" width="9.421875" style="0" bestFit="1" customWidth="1"/>
    <col min="9" max="9" width="33.28125" style="0" customWidth="1"/>
    <col min="10" max="10" width="10.57421875" style="0" bestFit="1" customWidth="1"/>
    <col min="12" max="12" width="10.00390625" style="0" customWidth="1"/>
  </cols>
  <sheetData>
    <row r="2" ht="12.75">
      <c r="B2" s="1" t="s">
        <v>29</v>
      </c>
    </row>
    <row r="5" ht="12.75">
      <c r="B5" s="7"/>
    </row>
    <row r="6" ht="12.75">
      <c r="B6" s="1" t="s">
        <v>33</v>
      </c>
    </row>
    <row r="7" ht="12.75">
      <c r="B7" s="1"/>
    </row>
    <row r="8" spans="2:4" ht="12.75">
      <c r="B8" s="8" t="s">
        <v>18</v>
      </c>
      <c r="C8" s="2">
        <v>50</v>
      </c>
      <c r="D8" t="s">
        <v>0</v>
      </c>
    </row>
    <row r="9" spans="2:6" ht="12.75">
      <c r="B9" s="8" t="s">
        <v>12</v>
      </c>
      <c r="C9" s="8">
        <v>1273.15</v>
      </c>
      <c r="D9" s="8" t="s">
        <v>2</v>
      </c>
      <c r="E9" s="10">
        <f>C9-273.15</f>
        <v>1000.0000000000001</v>
      </c>
      <c r="F9" s="8" t="s">
        <v>1</v>
      </c>
    </row>
    <row r="10" spans="2:6" ht="12.75">
      <c r="B10" s="8" t="s">
        <v>8</v>
      </c>
      <c r="C10">
        <v>1000000</v>
      </c>
      <c r="D10" t="s">
        <v>3</v>
      </c>
      <c r="E10" s="10">
        <f>C10/10^5</f>
        <v>10</v>
      </c>
      <c r="F10" s="8" t="s">
        <v>9</v>
      </c>
    </row>
    <row r="11" spans="2:6" ht="12.75">
      <c r="B11" s="8" t="s">
        <v>14</v>
      </c>
      <c r="C11">
        <v>50</v>
      </c>
      <c r="D11" s="8" t="s">
        <v>15</v>
      </c>
      <c r="E11" s="10"/>
      <c r="F11" s="8"/>
    </row>
    <row r="12" spans="2:6" ht="12.75">
      <c r="B12" s="8" t="s">
        <v>13</v>
      </c>
      <c r="C12">
        <v>100000</v>
      </c>
      <c r="D12" s="8" t="s">
        <v>3</v>
      </c>
      <c r="E12" s="10">
        <f>C12/10^5</f>
        <v>1</v>
      </c>
      <c r="F12" s="8" t="s">
        <v>9</v>
      </c>
    </row>
    <row r="13" spans="2:6" ht="12.75">
      <c r="B13" s="8"/>
      <c r="E13" s="10"/>
      <c r="F13" s="8"/>
    </row>
    <row r="14" spans="2:12" ht="14.25">
      <c r="B14" s="8" t="s">
        <v>10</v>
      </c>
      <c r="C14" s="16">
        <v>287</v>
      </c>
      <c r="D14" s="8" t="s">
        <v>11</v>
      </c>
      <c r="E14" s="10">
        <f>C14/1000</f>
        <v>0.287</v>
      </c>
      <c r="F14" s="8" t="s">
        <v>4</v>
      </c>
      <c r="J14" s="18" t="s">
        <v>36</v>
      </c>
      <c r="L14" s="18" t="s">
        <v>37</v>
      </c>
    </row>
    <row r="15" spans="2:12" ht="12.75">
      <c r="B15" s="4" t="s">
        <v>6</v>
      </c>
      <c r="C15" s="3">
        <v>1.4</v>
      </c>
      <c r="E15" s="10"/>
      <c r="H15" s="1"/>
      <c r="I15" s="8" t="s">
        <v>63</v>
      </c>
      <c r="J15">
        <v>1.35</v>
      </c>
      <c r="L15" s="17">
        <v>1.3</v>
      </c>
    </row>
    <row r="16" spans="2:12" ht="12.75">
      <c r="B16" s="4" t="s">
        <v>20</v>
      </c>
      <c r="C16" s="15">
        <f>C15-1</f>
        <v>0.3999999999999999</v>
      </c>
      <c r="E16" s="10"/>
      <c r="I16" s="8" t="s">
        <v>40</v>
      </c>
      <c r="J16" s="10">
        <f>J15-1</f>
        <v>0.3500000000000001</v>
      </c>
      <c r="L16" s="25">
        <f>L15-1</f>
        <v>0.30000000000000004</v>
      </c>
    </row>
    <row r="17" spans="2:12" ht="12.75">
      <c r="B17" s="4" t="s">
        <v>38</v>
      </c>
      <c r="C17" s="15">
        <f>C15+1</f>
        <v>2.4</v>
      </c>
      <c r="E17" s="10"/>
      <c r="I17" s="8" t="s">
        <v>39</v>
      </c>
      <c r="J17" s="10">
        <f>J15+1</f>
        <v>2.35</v>
      </c>
      <c r="L17" s="25">
        <f>L15+1</f>
        <v>2.3</v>
      </c>
    </row>
    <row r="18" spans="2:12" ht="12.75">
      <c r="B18" s="8" t="s">
        <v>5</v>
      </c>
      <c r="C18" s="10">
        <f>C15*C14/C16</f>
        <v>1004.5000000000001</v>
      </c>
      <c r="D18" s="8" t="s">
        <v>11</v>
      </c>
      <c r="E18" s="10">
        <f>C18/1000</f>
        <v>1.0045000000000002</v>
      </c>
      <c r="F18" s="8" t="s">
        <v>4</v>
      </c>
      <c r="I18" s="8" t="s">
        <v>47</v>
      </c>
      <c r="J18" s="15">
        <f>$C$15*J16/($C$16*J15)</f>
        <v>0.9074074074074078</v>
      </c>
      <c r="L18" s="15">
        <f>$C$15*L16/($C$16*L15)</f>
        <v>0.8076923076923079</v>
      </c>
    </row>
    <row r="19" ht="12.75">
      <c r="B19" s="8"/>
    </row>
    <row r="20" ht="12.75">
      <c r="B20" s="8"/>
    </row>
    <row r="22" ht="12.75">
      <c r="B22" s="1" t="s">
        <v>7</v>
      </c>
    </row>
    <row r="24" spans="2:12" ht="14.25">
      <c r="B24" s="8" t="s">
        <v>34</v>
      </c>
      <c r="C24" s="9">
        <f>C8*C14*C9/(C10*C11)</f>
        <v>0.36539405</v>
      </c>
      <c r="D24" s="8" t="s">
        <v>25</v>
      </c>
      <c r="E24" s="9"/>
      <c r="F24" s="8"/>
      <c r="I24" s="9"/>
      <c r="J24" s="8"/>
      <c r="K24" s="9"/>
      <c r="L24" s="8"/>
    </row>
    <row r="25" ht="12.75">
      <c r="B25" s="1"/>
    </row>
    <row r="26" spans="2:6" ht="12.75">
      <c r="B26" s="8" t="s">
        <v>16</v>
      </c>
      <c r="C26" s="9">
        <f>(C15*C14*C9)^0.5</f>
        <v>715.228404078026</v>
      </c>
      <c r="D26" s="8" t="s">
        <v>15</v>
      </c>
      <c r="E26" s="9"/>
      <c r="F26" s="8"/>
    </row>
    <row r="27" spans="2:6" ht="12.75">
      <c r="B27" s="8"/>
      <c r="C27" s="9"/>
      <c r="D27" s="8"/>
      <c r="E27" s="9"/>
      <c r="F27" s="8"/>
    </row>
    <row r="28" spans="2:6" ht="12.75">
      <c r="B28" s="8" t="s">
        <v>17</v>
      </c>
      <c r="C28" s="9">
        <f>C11/C26</f>
        <v>0.0699077381643604</v>
      </c>
      <c r="E28" s="9"/>
      <c r="F28" s="8"/>
    </row>
    <row r="29" spans="2:6" ht="12.75">
      <c r="B29" s="8"/>
      <c r="C29" s="9"/>
      <c r="E29" s="9"/>
      <c r="F29" s="8"/>
    </row>
    <row r="30" spans="2:6" ht="12.75">
      <c r="B30" s="8"/>
      <c r="C30" s="13">
        <f>1+0.5*C16*C28^2</f>
        <v>1.0009774183710514</v>
      </c>
      <c r="E30" s="9"/>
      <c r="F30" s="8"/>
    </row>
    <row r="31" spans="2:6" ht="12.75">
      <c r="B31" s="8"/>
      <c r="C31" s="9"/>
      <c r="E31" s="9"/>
      <c r="F31" s="8"/>
    </row>
    <row r="32" spans="2:8" ht="12.75">
      <c r="B32" s="8" t="s">
        <v>41</v>
      </c>
      <c r="C32" s="11">
        <f>C9*C30</f>
        <v>1274.3944001991042</v>
      </c>
      <c r="D32" s="8" t="s">
        <v>2</v>
      </c>
      <c r="G32" s="25">
        <f>C32-273.15</f>
        <v>1001.2444001991042</v>
      </c>
      <c r="H32" s="8" t="s">
        <v>1</v>
      </c>
    </row>
    <row r="33" spans="2:4" ht="12.75">
      <c r="B33" s="8"/>
      <c r="C33" s="11"/>
      <c r="D33" s="8"/>
    </row>
    <row r="34" spans="2:4" ht="12.75">
      <c r="B34" s="8"/>
      <c r="C34" s="11"/>
      <c r="D34" s="8"/>
    </row>
    <row r="35" spans="2:8" ht="12.75">
      <c r="B35" s="8" t="s">
        <v>42</v>
      </c>
      <c r="C35" s="12">
        <f>C10*C30^(C15/C16)</f>
        <v>1003425.1459832488</v>
      </c>
      <c r="D35" s="8" t="s">
        <v>3</v>
      </c>
      <c r="G35" s="15">
        <f>C35/10^5</f>
        <v>10.034251459832488</v>
      </c>
      <c r="H35" s="8" t="s">
        <v>9</v>
      </c>
    </row>
    <row r="36" spans="2:4" ht="12.75">
      <c r="B36" s="8"/>
      <c r="C36" s="12"/>
      <c r="D36" s="8"/>
    </row>
    <row r="37" spans="2:3" ht="12.75">
      <c r="B37" s="8" t="s">
        <v>43</v>
      </c>
      <c r="C37" s="13">
        <f>C12/C35</f>
        <v>0.09965865455963907</v>
      </c>
    </row>
    <row r="38" spans="2:3" ht="12.75">
      <c r="B38" s="8"/>
      <c r="C38" s="13"/>
    </row>
    <row r="39" spans="2:3" ht="12.75">
      <c r="B39" s="8" t="s">
        <v>45</v>
      </c>
      <c r="C39" s="13">
        <f>C12/C10</f>
        <v>0.1</v>
      </c>
    </row>
    <row r="40" spans="2:3" ht="12.75">
      <c r="B40" s="8"/>
      <c r="C40" s="13"/>
    </row>
    <row r="41" spans="2:12" ht="15.75">
      <c r="B41" s="8"/>
      <c r="C41" s="18" t="s">
        <v>35</v>
      </c>
      <c r="J41" s="18" t="s">
        <v>36</v>
      </c>
      <c r="K41" s="19"/>
      <c r="L41" s="18" t="s">
        <v>37</v>
      </c>
    </row>
    <row r="42" spans="2:3" ht="12.75">
      <c r="B42" s="8"/>
      <c r="C42" s="13"/>
    </row>
    <row r="43" spans="2:12" ht="12.75">
      <c r="B43" s="8" t="s">
        <v>30</v>
      </c>
      <c r="C43" s="11">
        <f>C32*(C37)^(C16/C15)</f>
        <v>659.4248187863218</v>
      </c>
      <c r="D43" s="8" t="s">
        <v>2</v>
      </c>
      <c r="G43" s="28">
        <f>C9*C39^(C16/C15)</f>
        <v>659.4248187863218</v>
      </c>
      <c r="J43" s="11">
        <f>$C$9*($C$39)^(J16/J15)</f>
        <v>700.8423143870556</v>
      </c>
      <c r="L43" s="11">
        <f>$C$9*($C$39)^(L16/L15)</f>
        <v>748.3596162416806</v>
      </c>
    </row>
    <row r="44" spans="2:3" ht="12.75">
      <c r="B44" s="8"/>
      <c r="C44" s="13"/>
    </row>
    <row r="45" spans="2:3" ht="12.75">
      <c r="B45" s="8"/>
      <c r="C45" s="13"/>
    </row>
    <row r="46" spans="2:12" ht="12.75">
      <c r="B46" s="8" t="s">
        <v>44</v>
      </c>
      <c r="C46" s="13">
        <f>(2/(C15+1))^(C15/C16)</f>
        <v>0.5282817877171742</v>
      </c>
      <c r="I46" t="s">
        <v>46</v>
      </c>
      <c r="J46" s="9">
        <f>J47*($C$30)^(J15/J16-$C$15/$C$16)</f>
        <v>0.5370385624906951</v>
      </c>
      <c r="L46" s="9">
        <f>L47*($C$30)^(L15/L16-$C$15/$C$16)</f>
        <v>0.5461722012161732</v>
      </c>
    </row>
    <row r="47" spans="2:12" ht="12.75">
      <c r="B47" s="8"/>
      <c r="C47" s="13"/>
      <c r="I47" s="8" t="s">
        <v>51</v>
      </c>
      <c r="J47" s="20">
        <f>(2/J17)^(J15/J16)</f>
        <v>0.536851218391557</v>
      </c>
      <c r="K47" s="21"/>
      <c r="L47" s="20">
        <f>(2/L17)^(L15/L16)</f>
        <v>0.545727733814065</v>
      </c>
    </row>
    <row r="48" spans="2:12" ht="12.75">
      <c r="B48" s="8"/>
      <c r="C48" s="13"/>
      <c r="I48" s="8" t="s">
        <v>50</v>
      </c>
      <c r="J48" s="20">
        <f>(2/J17)^($C$15/$C$16)</f>
        <v>0.5686793611612904</v>
      </c>
      <c r="K48" s="21"/>
      <c r="L48" s="20">
        <f>(2/L17)^($C$15/$C$16)</f>
        <v>0.6131370482388849</v>
      </c>
    </row>
    <row r="49" spans="2:12" ht="12.75">
      <c r="B49" s="8" t="s">
        <v>65</v>
      </c>
      <c r="C49" s="11">
        <f>C32*(C46)^(C16/C15)</f>
        <v>1061.9953334992535</v>
      </c>
      <c r="D49" s="8" t="s">
        <v>2</v>
      </c>
      <c r="I49" s="8"/>
      <c r="J49" s="20"/>
      <c r="K49" s="21"/>
      <c r="L49" s="20"/>
    </row>
    <row r="50" spans="2:12" ht="12.75">
      <c r="B50" s="8"/>
      <c r="C50" s="13"/>
      <c r="I50" s="8" t="s">
        <v>54</v>
      </c>
      <c r="J50" s="9">
        <f>J51*($C$30)^(J15/J16-$C$15/$C$16)</f>
        <v>0.4951515592431647</v>
      </c>
      <c r="K50" s="21"/>
      <c r="L50" s="9">
        <f>L51*($C$30)^(L15/L16-$C$15/$C$16)</f>
        <v>0.45418714058890164</v>
      </c>
    </row>
    <row r="51" spans="2:12" ht="12.75">
      <c r="B51" s="8"/>
      <c r="C51" s="13"/>
      <c r="I51" s="8" t="s">
        <v>52</v>
      </c>
      <c r="J51" s="20">
        <f>(2/($C$17))^(J15/J16)</f>
        <v>0.4949788272844521</v>
      </c>
      <c r="K51" s="21"/>
      <c r="L51" s="20">
        <f>(2/($C$17))^(L15/L16)</f>
        <v>0.453817529360064</v>
      </c>
    </row>
    <row r="52" spans="2:12" ht="12.75">
      <c r="B52" s="8"/>
      <c r="C52" s="13"/>
      <c r="I52" s="8" t="s">
        <v>53</v>
      </c>
      <c r="J52" s="20">
        <f>J51*(J17/2)^(J15/J16-$C$15/$C$16)</f>
        <v>0.524324493724412</v>
      </c>
      <c r="K52" s="21"/>
      <c r="L52" s="20">
        <f>L51*(L17/2)^(L15/L16-$C$15/$C$16)</f>
        <v>0.5098739227456901</v>
      </c>
    </row>
    <row r="53" spans="2:12" ht="12.75">
      <c r="B53" s="8"/>
      <c r="C53" s="13"/>
      <c r="I53" s="8"/>
      <c r="J53" s="20"/>
      <c r="K53" s="21"/>
      <c r="L53" s="20"/>
    </row>
    <row r="54" spans="2:13" ht="12.75">
      <c r="B54" s="8" t="s">
        <v>64</v>
      </c>
      <c r="C54" s="13">
        <f>(2*$C$18*($C$32-C49))^0.5</f>
        <v>653.2302235812425</v>
      </c>
      <c r="D54" s="8" t="s">
        <v>15</v>
      </c>
      <c r="G54" s="29">
        <f>(C15*C14*C49)^0.5</f>
        <v>653.2302235812425</v>
      </c>
      <c r="I54" s="8" t="s">
        <v>48</v>
      </c>
      <c r="J54" s="9">
        <f>((2*J16/J17)*$C$18*$C$32)^0.5</f>
        <v>617.5071444155569</v>
      </c>
      <c r="K54" s="8" t="s">
        <v>15</v>
      </c>
      <c r="L54" s="9">
        <f>((2*L16/L17)*$C$18*$C$32)^0.5</f>
        <v>577.8812519059153</v>
      </c>
      <c r="M54" s="8" t="s">
        <v>15</v>
      </c>
    </row>
    <row r="55" spans="2:13" ht="12.75">
      <c r="B55" s="8"/>
      <c r="C55" s="13"/>
      <c r="I55" s="8"/>
      <c r="J55" s="9"/>
      <c r="K55" s="8"/>
      <c r="L55" s="9"/>
      <c r="M55" s="8"/>
    </row>
    <row r="56" spans="2:13" ht="12.75">
      <c r="B56" s="8"/>
      <c r="C56" s="13"/>
      <c r="I56" s="8"/>
      <c r="J56" s="9"/>
      <c r="K56" s="8"/>
      <c r="L56" s="9"/>
      <c r="M56" s="8"/>
    </row>
    <row r="57" spans="2:12" ht="12.75">
      <c r="B57" s="8" t="s">
        <v>49</v>
      </c>
      <c r="C57" s="23">
        <f>C54/(C15*C14*C49)^0.5</f>
        <v>1</v>
      </c>
      <c r="I57" s="8" t="s">
        <v>49</v>
      </c>
      <c r="J57" s="9">
        <f>(J16/$C$16)^0.5</f>
        <v>0.9354143466934856</v>
      </c>
      <c r="L57" s="9">
        <f>(L16/$C$16)^0.5</f>
        <v>0.8660254037844388</v>
      </c>
    </row>
    <row r="58" spans="9:12" ht="12.75">
      <c r="I58" s="8"/>
      <c r="J58" s="9"/>
      <c r="L58" s="9"/>
    </row>
    <row r="59" spans="9:12" ht="12.75">
      <c r="I59" s="8"/>
      <c r="J59" s="9"/>
      <c r="L59" s="9"/>
    </row>
    <row r="60" spans="9:12" ht="12.75">
      <c r="I60" s="8"/>
      <c r="J60" s="9"/>
      <c r="L60" s="9"/>
    </row>
    <row r="61" spans="9:12" ht="15.75">
      <c r="I61" s="8" t="s">
        <v>58</v>
      </c>
      <c r="J61" s="13">
        <f>((J16/$C$16)*($C$17/J17)^(J17/J16))^0.5</f>
        <v>1.0039212741508057</v>
      </c>
      <c r="L61" s="13">
        <f>((L16/$C$16)*($C$17/L17)^(L17/L16))^0.5</f>
        <v>1.0194916822873208</v>
      </c>
    </row>
    <row r="62" spans="9:12" ht="12.75">
      <c r="I62" s="8"/>
      <c r="J62" s="13"/>
      <c r="L62" s="13"/>
    </row>
    <row r="63" spans="9:12" ht="12.75">
      <c r="I63" s="8"/>
      <c r="J63" s="13"/>
      <c r="L63" s="13"/>
    </row>
    <row r="64" spans="9:12" ht="12.75">
      <c r="I64" s="8"/>
      <c r="J64" s="13"/>
      <c r="L64" s="13"/>
    </row>
    <row r="65" spans="9:12" ht="12.75">
      <c r="I65" s="8"/>
      <c r="J65" s="13"/>
      <c r="L65" s="13"/>
    </row>
    <row r="66" spans="9:12" ht="15.75">
      <c r="I66" s="8" t="s">
        <v>59</v>
      </c>
      <c r="J66" s="13">
        <f>J67/($C$30)^(1/J16-1/$C$16)</f>
        <v>1.066909268193861</v>
      </c>
      <c r="L66" s="13">
        <f>L67/($C$30)^(1/L16-1/$C$16)</f>
        <v>1.1631368229232577</v>
      </c>
    </row>
    <row r="67" spans="9:12" ht="15.75">
      <c r="I67" s="8" t="s">
        <v>60</v>
      </c>
      <c r="J67" s="22">
        <f>(($C$17/2)^(J17/J16-$C$17/$C$16))^0.5</f>
        <v>1.0672815857911102</v>
      </c>
      <c r="K67" s="21"/>
      <c r="L67" s="22">
        <f>(($C$17/2)^(L17/L16-$C$17/$C$16))^0.5</f>
        <v>1.16408413853496</v>
      </c>
    </row>
    <row r="68" spans="9:12" ht="15.75">
      <c r="I68" s="8" t="s">
        <v>61</v>
      </c>
      <c r="J68" s="22">
        <f>J67/((1+0.5*$C$16*J57^2)^(1/J16-1/$C$16))</f>
        <v>1.0075474139395098</v>
      </c>
      <c r="K68" s="21"/>
      <c r="L68" s="22">
        <f>L67/((1+0.5*$C$16*L57^2)^(1/L16-1/$C$16))</f>
        <v>1.036102777863902</v>
      </c>
    </row>
    <row r="73" spans="9:12" ht="12.75">
      <c r="I73" s="8" t="s">
        <v>55</v>
      </c>
      <c r="J73" s="13">
        <f>J66/J$61</f>
        <v>1.0627419655951962</v>
      </c>
      <c r="L73" s="13">
        <f>L66/L$61</f>
        <v>1.1408987862594977</v>
      </c>
    </row>
    <row r="74" spans="2:12" ht="12.75">
      <c r="B74" s="8"/>
      <c r="C74" s="13"/>
      <c r="I74" s="8" t="s">
        <v>56</v>
      </c>
      <c r="J74" s="22">
        <f>J67/J$61</f>
        <v>1.063112828935615</v>
      </c>
      <c r="L74" s="22">
        <f>L67/L$61</f>
        <v>1.1418279901246797</v>
      </c>
    </row>
    <row r="75" spans="2:12" ht="12.75">
      <c r="B75" s="8"/>
      <c r="C75" s="13"/>
      <c r="I75" s="8" t="s">
        <v>57</v>
      </c>
      <c r="J75" s="22">
        <f>J68/J$61</f>
        <v>1.0036119762396423</v>
      </c>
      <c r="L75" s="22">
        <f>L68/L$61</f>
        <v>1.0162935077011248</v>
      </c>
    </row>
    <row r="76" spans="2:12" ht="12.75">
      <c r="B76" s="8"/>
      <c r="C76" s="13"/>
      <c r="L76" s="13"/>
    </row>
    <row r="77" spans="2:12" ht="12.75">
      <c r="B77" s="8"/>
      <c r="C77" s="13"/>
      <c r="L77" s="13"/>
    </row>
    <row r="78" spans="2:13" ht="14.25">
      <c r="B78" s="8" t="s">
        <v>22</v>
      </c>
      <c r="C78" s="13">
        <f>(C8/C35)*((C32*C14/C15)^0.5)*((C15+1)/2)^((C15+1)/(2*C16))</f>
        <v>0.04401063349780411</v>
      </c>
      <c r="D78" s="8" t="s">
        <v>25</v>
      </c>
      <c r="J78" s="13">
        <f>J73*$C$78</f>
        <v>0.046771947150546125</v>
      </c>
      <c r="K78" s="8" t="s">
        <v>25</v>
      </c>
      <c r="L78" s="13">
        <f>L73*$C$78</f>
        <v>0.0502116783401563</v>
      </c>
      <c r="M78" s="8" t="s">
        <v>25</v>
      </c>
    </row>
    <row r="79" spans="2:13" ht="12.75">
      <c r="B79" s="8"/>
      <c r="C79" s="13"/>
      <c r="D79" s="8"/>
      <c r="J79" s="13"/>
      <c r="K79" s="8"/>
      <c r="L79" s="13"/>
      <c r="M79" s="8"/>
    </row>
    <row r="80" spans="2:13" ht="12.75">
      <c r="B80" s="8"/>
      <c r="C80" s="13"/>
      <c r="D80" s="8"/>
      <c r="J80" s="13"/>
      <c r="K80" s="8"/>
      <c r="L80" s="13"/>
      <c r="M80" s="8"/>
    </row>
    <row r="81" spans="2:13" ht="15.75">
      <c r="B81" s="8"/>
      <c r="C81" s="14">
        <f>C8*C14*C49/(C46*C35*C54)</f>
        <v>0.04401063349780411</v>
      </c>
      <c r="D81" s="8" t="s">
        <v>25</v>
      </c>
      <c r="I81" s="8" t="s">
        <v>62</v>
      </c>
      <c r="J81" s="13">
        <f>J61*J78</f>
        <v>0.04695535277789041</v>
      </c>
      <c r="K81" s="8" t="s">
        <v>25</v>
      </c>
      <c r="L81" s="13">
        <f>L61*L78</f>
        <v>0.051190388421475774</v>
      </c>
      <c r="M81" s="8" t="s">
        <v>25</v>
      </c>
    </row>
    <row r="82" spans="2:13" ht="12.75">
      <c r="B82" s="8"/>
      <c r="C82" s="14"/>
      <c r="D82" s="8"/>
      <c r="I82" s="8"/>
      <c r="J82" s="13"/>
      <c r="K82" s="8"/>
      <c r="L82" s="13"/>
      <c r="M82" s="8"/>
    </row>
    <row r="83" spans="2:6" ht="12.75">
      <c r="B83" s="8"/>
      <c r="C83" s="9"/>
      <c r="D83" s="8"/>
      <c r="E83" s="9"/>
      <c r="F83" s="8"/>
    </row>
    <row r="84" spans="2:13" ht="12.75">
      <c r="B84" s="8" t="s">
        <v>32</v>
      </c>
      <c r="C84" s="9">
        <f>(2*$C$18*($C$32-C43))^0.5</f>
        <v>1111.5187308625439</v>
      </c>
      <c r="D84" s="8" t="s">
        <v>15</v>
      </c>
      <c r="E84" s="9"/>
      <c r="F84" s="8"/>
      <c r="G84" s="23"/>
      <c r="H84" s="8"/>
      <c r="J84" s="9">
        <f>(2*$C$18*($C$32-J43))^0.5</f>
        <v>1073.4366028771358</v>
      </c>
      <c r="K84" s="8" t="s">
        <v>15</v>
      </c>
      <c r="L84" s="9">
        <f>(2*$C$18*($C$32-L43))^0.5</f>
        <v>1028.009669687238</v>
      </c>
      <c r="M84" s="8" t="s">
        <v>15</v>
      </c>
    </row>
    <row r="85" spans="2:13" ht="12.75">
      <c r="B85" s="8"/>
      <c r="C85" s="9"/>
      <c r="D85" s="8"/>
      <c r="E85" s="9"/>
      <c r="F85" s="8"/>
      <c r="G85" s="23"/>
      <c r="H85" s="8"/>
      <c r="J85" s="9"/>
      <c r="K85" s="8"/>
      <c r="L85" s="9"/>
      <c r="M85" s="8"/>
    </row>
    <row r="86" spans="2:4" ht="12.75">
      <c r="B86" s="8"/>
      <c r="C86" s="23">
        <f>C88*C91</f>
        <v>1111.5187308625436</v>
      </c>
      <c r="D86" s="8" t="s">
        <v>15</v>
      </c>
    </row>
    <row r="87" spans="2:3" ht="12.75">
      <c r="B87" s="8"/>
      <c r="C87" s="9"/>
    </row>
    <row r="88" spans="2:13" ht="12.75">
      <c r="B88" s="8" t="s">
        <v>31</v>
      </c>
      <c r="C88" s="9">
        <f>(C15*C14*C43)^0.5</f>
        <v>514.739635338434</v>
      </c>
      <c r="D88" s="8" t="s">
        <v>15</v>
      </c>
      <c r="E88" s="9"/>
      <c r="F88" s="8"/>
      <c r="J88" s="9">
        <f>($C$15*$C$14*J43)^0.5</f>
        <v>530.6584983967739</v>
      </c>
      <c r="K88" s="8" t="s">
        <v>15</v>
      </c>
      <c r="L88" s="9">
        <f>($C$15*$C$14*L43)^0.5</f>
        <v>548.352891672787</v>
      </c>
      <c r="M88" s="8" t="s">
        <v>15</v>
      </c>
    </row>
    <row r="89" spans="2:4" ht="12.75">
      <c r="B89" s="8"/>
      <c r="C89" s="13"/>
      <c r="D89" s="8"/>
    </row>
    <row r="90" spans="2:4" ht="12.75">
      <c r="B90" s="8"/>
      <c r="C90" s="13"/>
      <c r="D90" s="8"/>
    </row>
    <row r="91" spans="2:12" ht="12.75">
      <c r="B91" s="8" t="s">
        <v>26</v>
      </c>
      <c r="C91" s="9">
        <f>((2/C16)*(C37^(-C16/C15)-1))^0.5</f>
        <v>2.1593804994863777</v>
      </c>
      <c r="J91" s="9">
        <f>J84/J88</f>
        <v>2.0228388052206903</v>
      </c>
      <c r="L91" s="9">
        <f>L84/L88</f>
        <v>1.8747228022291014</v>
      </c>
    </row>
    <row r="92" spans="2:3" ht="12.75">
      <c r="B92" s="8"/>
      <c r="C92" s="9"/>
    </row>
    <row r="93" spans="2:6" ht="12.75">
      <c r="B93" s="8"/>
      <c r="C93" s="9"/>
      <c r="D93" s="8"/>
      <c r="E93" s="9"/>
      <c r="F93" s="8"/>
    </row>
    <row r="94" spans="2:3" ht="12.75">
      <c r="B94" s="8"/>
      <c r="C94" s="9"/>
    </row>
    <row r="95" spans="2:3" ht="12.75">
      <c r="B95" s="8" t="s">
        <v>27</v>
      </c>
      <c r="C95" s="13">
        <f>(((2+C16*C91^2)/((C15+1)))^((C15+1)/(2*C16)))/C91</f>
        <v>1.934384413486552</v>
      </c>
    </row>
    <row r="96" spans="2:3" ht="12.75">
      <c r="B96" s="8"/>
      <c r="C96" s="13"/>
    </row>
    <row r="97" spans="2:3" ht="12.75">
      <c r="B97" s="8"/>
      <c r="C97" s="13"/>
    </row>
    <row r="98" spans="2:13" ht="14.25">
      <c r="B98" s="8" t="s">
        <v>28</v>
      </c>
      <c r="C98" s="13">
        <f>$C$8*$C$14*C43/($C$12*C86)</f>
        <v>0.08513348346582143</v>
      </c>
      <c r="D98" s="8" t="s">
        <v>25</v>
      </c>
      <c r="J98" s="13">
        <f>$C$8*$C$14*J43/($C$12*J84)</f>
        <v>0.09369055596295303</v>
      </c>
      <c r="K98" s="8" t="s">
        <v>25</v>
      </c>
      <c r="L98" s="13">
        <f>$C$8*$C$14*L43/($C$12*L84)</f>
        <v>0.10446361361888104</v>
      </c>
      <c r="M98" s="8" t="s">
        <v>25</v>
      </c>
    </row>
    <row r="99" spans="2:4" ht="12.75">
      <c r="B99" s="8"/>
      <c r="C99" s="13"/>
      <c r="D99" s="8"/>
    </row>
    <row r="100" spans="3:4" ht="14.25">
      <c r="C100" s="14">
        <f>C95*C78</f>
        <v>0.0851334834658214</v>
      </c>
      <c r="D100" s="8" t="s">
        <v>25</v>
      </c>
    </row>
    <row r="101" ht="12.75">
      <c r="B101" s="4"/>
    </row>
    <row r="102" ht="12.75">
      <c r="B102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02"/>
  <sheetViews>
    <sheetView zoomScalePageLayoutView="0" workbookViewId="0" topLeftCell="A40">
      <selection activeCell="I33" sqref="I33"/>
    </sheetView>
  </sheetViews>
  <sheetFormatPr defaultColWidth="9.140625" defaultRowHeight="12.75"/>
  <cols>
    <col min="2" max="2" width="10.421875" style="0" customWidth="1"/>
    <col min="3" max="3" width="17.57421875" style="0" customWidth="1"/>
    <col min="4" max="4" width="9.57421875" style="0" bestFit="1" customWidth="1"/>
    <col min="5" max="5" width="9.421875" style="0" bestFit="1" customWidth="1"/>
    <col min="6" max="6" width="10.8515625" style="0" customWidth="1"/>
    <col min="9" max="9" width="33.28125" style="0" customWidth="1"/>
    <col min="10" max="10" width="10.57421875" style="0" bestFit="1" customWidth="1"/>
    <col min="12" max="12" width="10.00390625" style="0" customWidth="1"/>
  </cols>
  <sheetData>
    <row r="2" ht="12.75">
      <c r="B2" s="1" t="s">
        <v>29</v>
      </c>
    </row>
    <row r="5" ht="12.75">
      <c r="B5" s="7"/>
    </row>
    <row r="6" ht="12.75">
      <c r="B6" s="1" t="s">
        <v>33</v>
      </c>
    </row>
    <row r="7" ht="12.75">
      <c r="B7" s="1"/>
    </row>
    <row r="8" spans="2:4" ht="12.75">
      <c r="B8" s="8" t="s">
        <v>18</v>
      </c>
      <c r="C8" s="2">
        <v>50</v>
      </c>
      <c r="D8" t="s">
        <v>0</v>
      </c>
    </row>
    <row r="9" spans="2:4" ht="12.75">
      <c r="B9" s="8" t="s">
        <v>14</v>
      </c>
      <c r="C9">
        <v>50</v>
      </c>
      <c r="D9" s="8" t="s">
        <v>15</v>
      </c>
    </row>
    <row r="10" spans="2:6" ht="12.75">
      <c r="B10" s="8" t="s">
        <v>41</v>
      </c>
      <c r="C10" s="24">
        <v>1274.39</v>
      </c>
      <c r="D10" s="8" t="s">
        <v>2</v>
      </c>
      <c r="E10" s="25">
        <f>C10-273.15</f>
        <v>1001.2400000000001</v>
      </c>
      <c r="F10" s="8" t="s">
        <v>1</v>
      </c>
    </row>
    <row r="11" spans="2:6" ht="12.75">
      <c r="B11" s="8" t="s">
        <v>42</v>
      </c>
      <c r="C11" s="26">
        <v>1003425</v>
      </c>
      <c r="D11" s="8" t="s">
        <v>3</v>
      </c>
      <c r="E11" s="15">
        <f>C11/10^5</f>
        <v>10.03425</v>
      </c>
      <c r="F11" s="8" t="s">
        <v>9</v>
      </c>
    </row>
    <row r="12" spans="2:6" ht="12.75">
      <c r="B12" s="8" t="s">
        <v>13</v>
      </c>
      <c r="C12">
        <v>100000</v>
      </c>
      <c r="D12" s="8" t="s">
        <v>3</v>
      </c>
      <c r="E12" s="10">
        <f>C12/10^5</f>
        <v>1</v>
      </c>
      <c r="F12" s="8" t="s">
        <v>9</v>
      </c>
    </row>
    <row r="13" ht="12.75">
      <c r="B13" s="8"/>
    </row>
    <row r="14" spans="2:12" ht="14.25">
      <c r="B14" s="8" t="s">
        <v>10</v>
      </c>
      <c r="C14" s="16">
        <v>287</v>
      </c>
      <c r="D14" s="8" t="s">
        <v>11</v>
      </c>
      <c r="E14" s="10">
        <f>C14/1000</f>
        <v>0.287</v>
      </c>
      <c r="F14" s="8" t="s">
        <v>4</v>
      </c>
      <c r="H14" s="1"/>
      <c r="J14" s="18" t="s">
        <v>36</v>
      </c>
      <c r="L14" s="18" t="s">
        <v>37</v>
      </c>
    </row>
    <row r="15" spans="2:12" ht="12.75">
      <c r="B15" s="4" t="s">
        <v>6</v>
      </c>
      <c r="C15" s="3">
        <v>1.4</v>
      </c>
      <c r="E15" s="10"/>
      <c r="I15" s="8" t="s">
        <v>63</v>
      </c>
      <c r="J15">
        <v>1.35</v>
      </c>
      <c r="L15" s="17">
        <v>1.3</v>
      </c>
    </row>
    <row r="16" spans="2:12" ht="12.75">
      <c r="B16" s="4" t="s">
        <v>20</v>
      </c>
      <c r="C16" s="15">
        <f>C15-1</f>
        <v>0.3999999999999999</v>
      </c>
      <c r="E16" s="10"/>
      <c r="I16" s="8" t="s">
        <v>40</v>
      </c>
      <c r="J16" s="10">
        <f>J15-1</f>
        <v>0.3500000000000001</v>
      </c>
      <c r="L16" s="10">
        <f>L15-1</f>
        <v>0.30000000000000004</v>
      </c>
    </row>
    <row r="17" spans="2:12" ht="12.75">
      <c r="B17" s="4" t="s">
        <v>38</v>
      </c>
      <c r="C17" s="15">
        <f>C15+1</f>
        <v>2.4</v>
      </c>
      <c r="E17" s="10"/>
      <c r="I17" s="8" t="s">
        <v>39</v>
      </c>
      <c r="J17" s="10">
        <f>J15+1</f>
        <v>2.35</v>
      </c>
      <c r="L17" s="10">
        <f>L15+1</f>
        <v>2.3</v>
      </c>
    </row>
    <row r="18" spans="2:12" ht="12.75">
      <c r="B18" s="8" t="s">
        <v>5</v>
      </c>
      <c r="C18" s="10">
        <f>C15*C14/C16</f>
        <v>1004.5000000000001</v>
      </c>
      <c r="D18" s="8" t="s">
        <v>11</v>
      </c>
      <c r="E18" s="10">
        <f>C18/1000</f>
        <v>1.0045000000000002</v>
      </c>
      <c r="F18" s="8" t="s">
        <v>4</v>
      </c>
      <c r="I18" s="8" t="s">
        <v>47</v>
      </c>
      <c r="J18" s="15">
        <f>$C$15*J16/($C$16*J15)</f>
        <v>0.9074074074074078</v>
      </c>
      <c r="L18" s="15">
        <f>$C$15*L16/($C$16*L15)</f>
        <v>0.8076923076923079</v>
      </c>
    </row>
    <row r="19" ht="12.75">
      <c r="B19" s="8"/>
    </row>
    <row r="20" ht="12.75">
      <c r="B20" s="8"/>
    </row>
    <row r="22" spans="2:12" ht="12.75">
      <c r="B22" s="1" t="s">
        <v>7</v>
      </c>
      <c r="E22" s="9"/>
      <c r="F22" s="8"/>
      <c r="I22" s="9"/>
      <c r="J22" s="8"/>
      <c r="K22" s="9"/>
      <c r="L22" s="8"/>
    </row>
    <row r="24" spans="2:8" ht="12.75">
      <c r="B24" s="8" t="s">
        <v>12</v>
      </c>
      <c r="C24" s="11">
        <f>C10-(C9^2)/(2*C18)</f>
        <v>1273.145599800896</v>
      </c>
      <c r="D24" s="8" t="s">
        <v>2</v>
      </c>
      <c r="G24" s="25">
        <f>C24-273.15</f>
        <v>999.995599800896</v>
      </c>
      <c r="H24" s="8" t="s">
        <v>1</v>
      </c>
    </row>
    <row r="25" spans="2:4" ht="12.75">
      <c r="B25" s="8"/>
      <c r="C25" s="11"/>
      <c r="D25" s="8"/>
    </row>
    <row r="26" spans="2:4" ht="12.75">
      <c r="B26" s="8" t="s">
        <v>16</v>
      </c>
      <c r="C26" s="9">
        <f>(C15*C14*C24)^0.5</f>
        <v>715.2271681081472</v>
      </c>
      <c r="D26" s="8" t="s">
        <v>15</v>
      </c>
    </row>
    <row r="27" spans="6:8" ht="12.75">
      <c r="F27" s="8"/>
      <c r="G27" s="15"/>
      <c r="H27" s="8"/>
    </row>
    <row r="28" spans="2:5" ht="12.75">
      <c r="B28" s="8" t="s">
        <v>17</v>
      </c>
      <c r="C28" s="9">
        <f>C9/C26</f>
        <v>0.06990785897053572</v>
      </c>
      <c r="E28" s="9"/>
    </row>
    <row r="29" spans="2:5" ht="12.75">
      <c r="B29" s="8"/>
      <c r="C29" s="9"/>
      <c r="E29" s="9"/>
    </row>
    <row r="30" spans="2:5" ht="12.75">
      <c r="B30" s="8"/>
      <c r="C30" s="9"/>
      <c r="E30" s="9"/>
    </row>
    <row r="31" spans="2:6" ht="12.75">
      <c r="B31" s="8"/>
      <c r="C31" s="13">
        <f>1+0.5*C16*C28^2</f>
        <v>1.000977421749169</v>
      </c>
      <c r="F31" s="8"/>
    </row>
    <row r="32" spans="2:4" ht="12.75">
      <c r="B32" s="8"/>
      <c r="C32" s="11"/>
      <c r="D32" s="8"/>
    </row>
    <row r="33" spans="2:8" ht="12.75">
      <c r="B33" s="8" t="s">
        <v>8</v>
      </c>
      <c r="C33" s="12">
        <f>C11/(C31)^(C15/C16)</f>
        <v>999999.8427031938</v>
      </c>
      <c r="D33" t="s">
        <v>3</v>
      </c>
      <c r="G33" s="15">
        <f>C33/10^5</f>
        <v>9.999998427031938</v>
      </c>
      <c r="H33" s="8" t="s">
        <v>9</v>
      </c>
    </row>
    <row r="34" spans="2:3" ht="12.75">
      <c r="B34" s="8"/>
      <c r="C34" s="27"/>
    </row>
    <row r="35" spans="2:3" ht="12.75">
      <c r="B35" s="8" t="s">
        <v>43</v>
      </c>
      <c r="C35" s="13">
        <f>C12/C11</f>
        <v>0.09965866905847473</v>
      </c>
    </row>
    <row r="36" spans="2:3" ht="12.75">
      <c r="B36" s="8"/>
      <c r="C36" s="13"/>
    </row>
    <row r="37" spans="2:3" ht="12.75">
      <c r="B37" s="8" t="s">
        <v>45</v>
      </c>
      <c r="C37" s="13">
        <f>C12/C33</f>
        <v>0.1000000157296831</v>
      </c>
    </row>
    <row r="39" spans="2:5" ht="14.25">
      <c r="B39" s="8" t="s">
        <v>34</v>
      </c>
      <c r="C39" s="9">
        <f>C8*C14*C24/(C33*C9)</f>
        <v>0.36539284461798466</v>
      </c>
      <c r="D39" s="8" t="s">
        <v>25</v>
      </c>
      <c r="E39" s="9"/>
    </row>
    <row r="40" spans="2:4" ht="12.75">
      <c r="B40" s="8"/>
      <c r="C40" s="9"/>
      <c r="D40" s="8"/>
    </row>
    <row r="41" spans="3:12" ht="15.75">
      <c r="C41" s="18" t="s">
        <v>35</v>
      </c>
      <c r="D41" s="8"/>
      <c r="E41" s="9"/>
      <c r="J41" s="18" t="s">
        <v>36</v>
      </c>
      <c r="K41" s="19"/>
      <c r="L41" s="18" t="s">
        <v>37</v>
      </c>
    </row>
    <row r="42" spans="2:5" ht="12.75">
      <c r="B42" s="1"/>
      <c r="E42" s="9"/>
    </row>
    <row r="43" spans="2:12" ht="12.75">
      <c r="B43" s="8" t="s">
        <v>30</v>
      </c>
      <c r="C43" s="11">
        <f>C10*(C35)^(C16/C15)</f>
        <v>659.4225693500717</v>
      </c>
      <c r="D43" s="8" t="s">
        <v>2</v>
      </c>
      <c r="J43" s="11">
        <f>$C$24*($C$37)^(J16/J15)</f>
        <v>700.8399207506491</v>
      </c>
      <c r="L43" s="11">
        <f>$C$24*($C$37)^(L16/L15)</f>
        <v>748.3570569623863</v>
      </c>
    </row>
    <row r="44" spans="2:5" ht="12.75">
      <c r="B44" s="8"/>
      <c r="C44" s="9"/>
      <c r="E44" s="9"/>
    </row>
    <row r="45" spans="2:3" ht="12.75">
      <c r="B45" s="8"/>
      <c r="C45" s="13"/>
    </row>
    <row r="46" spans="2:12" ht="12.75">
      <c r="B46" s="8" t="s">
        <v>44</v>
      </c>
      <c r="C46" s="13">
        <f>(2/(C15+1))^(C15/C16)</f>
        <v>0.5282817877171742</v>
      </c>
      <c r="I46" t="s">
        <v>46</v>
      </c>
      <c r="J46" s="9">
        <f>J47*($C$31)^(J15/J16-$C$15/$C$16)</f>
        <v>0.5370385631379836</v>
      </c>
      <c r="L46" s="9">
        <f>L47*($C$31)^(L15/L16-$C$15/$C$16)</f>
        <v>0.5461722027522001</v>
      </c>
    </row>
    <row r="47" spans="2:12" ht="12.75">
      <c r="B47" s="8"/>
      <c r="C47" s="13"/>
      <c r="I47" s="8" t="s">
        <v>51</v>
      </c>
      <c r="J47" s="20">
        <f>(2/J17)^(J15/J16)</f>
        <v>0.536851218391557</v>
      </c>
      <c r="K47" s="21"/>
      <c r="L47" s="20">
        <f>(2/L17)^(L15/L16)</f>
        <v>0.545727733814065</v>
      </c>
    </row>
    <row r="48" spans="2:12" ht="12.75">
      <c r="B48" s="8"/>
      <c r="C48" s="13"/>
      <c r="I48" s="8" t="s">
        <v>50</v>
      </c>
      <c r="J48" s="20">
        <f>(2/J17)^($C$15/$C$16)</f>
        <v>0.5686793611612904</v>
      </c>
      <c r="K48" s="21"/>
      <c r="L48" s="20">
        <f>(2/L17)^($C$15/$C$16)</f>
        <v>0.6131370482388849</v>
      </c>
    </row>
    <row r="49" spans="2:12" ht="12.75">
      <c r="B49" s="8" t="s">
        <v>65</v>
      </c>
      <c r="C49" s="11">
        <f>C10*(C46)^(C16/C15)</f>
        <v>1061.9916666666668</v>
      </c>
      <c r="D49" s="8" t="s">
        <v>2</v>
      </c>
      <c r="I49" s="8"/>
      <c r="J49" s="20"/>
      <c r="K49" s="21"/>
      <c r="L49" s="20"/>
    </row>
    <row r="50" spans="2:12" ht="12.75">
      <c r="B50" s="8"/>
      <c r="C50" s="13"/>
      <c r="I50" s="8" t="s">
        <v>54</v>
      </c>
      <c r="J50" s="9">
        <f>J51*($C$31)^(J15/J16-$C$15/$C$16)</f>
        <v>0.49515155983996717</v>
      </c>
      <c r="K50" s="21"/>
      <c r="L50" s="9">
        <f>L51*($C$31)^(L15/L16-$C$15/$C$16)</f>
        <v>0.45418714186623443</v>
      </c>
    </row>
    <row r="51" spans="2:12" ht="12.75">
      <c r="B51" s="8"/>
      <c r="C51" s="13"/>
      <c r="I51" s="8" t="s">
        <v>52</v>
      </c>
      <c r="J51" s="20">
        <f>(2/($C$17))^(J15/J16)</f>
        <v>0.4949788272844521</v>
      </c>
      <c r="K51" s="21"/>
      <c r="L51" s="20">
        <f>(2/($C$17))^(L15/L16)</f>
        <v>0.453817529360064</v>
      </c>
    </row>
    <row r="52" spans="2:12" ht="12.75">
      <c r="B52" s="8"/>
      <c r="C52" s="13"/>
      <c r="I52" s="8" t="s">
        <v>53</v>
      </c>
      <c r="J52" s="20">
        <f>J51*(J17/2)^(J15/J16-$C$15/$C$16)</f>
        <v>0.524324493724412</v>
      </c>
      <c r="K52" s="21"/>
      <c r="L52" s="20">
        <f>L51*(L17/2)^(L15/L16-$C$15/$C$16)</f>
        <v>0.5098739227456901</v>
      </c>
    </row>
    <row r="53" spans="2:12" ht="12.75">
      <c r="B53" s="8"/>
      <c r="C53" s="13"/>
      <c r="I53" s="8"/>
      <c r="J53" s="20"/>
      <c r="K53" s="21"/>
      <c r="L53" s="20"/>
    </row>
    <row r="54" spans="2:13" ht="12.75">
      <c r="B54" s="8" t="s">
        <v>64</v>
      </c>
      <c r="C54" s="11">
        <f>(2*$C$18*($C$10-C49))^0.5</f>
        <v>653.2290958512692</v>
      </c>
      <c r="D54" s="8" t="s">
        <v>15</v>
      </c>
      <c r="I54" s="8" t="s">
        <v>48</v>
      </c>
      <c r="J54" s="9">
        <f>((2*J16/J17)*$C$18*$C$10)^0.5</f>
        <v>617.5060783575419</v>
      </c>
      <c r="K54" s="8" t="s">
        <v>15</v>
      </c>
      <c r="L54" s="9">
        <f>((2*L16/L17)*$C$18*$C$10)^0.5</f>
        <v>577.8802542576357</v>
      </c>
      <c r="M54" s="8" t="s">
        <v>15</v>
      </c>
    </row>
    <row r="55" spans="2:13" ht="12.75">
      <c r="B55" s="8"/>
      <c r="C55" s="13"/>
      <c r="I55" s="8"/>
      <c r="J55" s="9"/>
      <c r="K55" s="8"/>
      <c r="L55" s="9"/>
      <c r="M55" s="8"/>
    </row>
    <row r="56" spans="2:13" ht="12.75">
      <c r="B56" s="8"/>
      <c r="C56" s="13"/>
      <c r="I56" s="8"/>
      <c r="J56" s="9"/>
      <c r="K56" s="8"/>
      <c r="L56" s="9"/>
      <c r="M56" s="8"/>
    </row>
    <row r="57" spans="2:12" ht="12.75">
      <c r="B57" s="8" t="s">
        <v>49</v>
      </c>
      <c r="C57" s="23">
        <f>C54/(C15*C14*C49)^0.5</f>
        <v>1</v>
      </c>
      <c r="I57" s="8" t="s">
        <v>49</v>
      </c>
      <c r="J57" s="9">
        <f>(J16/$C$16)^0.5</f>
        <v>0.9354143466934856</v>
      </c>
      <c r="L57" s="9">
        <f>(L16/$C$16)^0.5</f>
        <v>0.8660254037844388</v>
      </c>
    </row>
    <row r="58" spans="9:12" ht="12.75">
      <c r="I58" s="8"/>
      <c r="J58" s="9"/>
      <c r="L58" s="9"/>
    </row>
    <row r="59" spans="9:12" ht="12.75">
      <c r="I59" s="8"/>
      <c r="J59" s="9"/>
      <c r="L59" s="9"/>
    </row>
    <row r="60" spans="9:12" ht="12.75">
      <c r="I60" s="8"/>
      <c r="J60" s="9"/>
      <c r="L60" s="9"/>
    </row>
    <row r="61" spans="9:12" ht="15.75">
      <c r="I61" s="8" t="s">
        <v>58</v>
      </c>
      <c r="J61" s="13">
        <f>((J16/$C$16)*($C$17/J17)^(J17/J16))^0.5</f>
        <v>1.0039212741508057</v>
      </c>
      <c r="L61" s="13">
        <f>((L16/$C$16)*($C$17/L17)^(L17/L16))^0.5</f>
        <v>1.0194916822873208</v>
      </c>
    </row>
    <row r="62" spans="9:12" ht="12.75">
      <c r="I62" s="8"/>
      <c r="J62" s="13"/>
      <c r="L62" s="13"/>
    </row>
    <row r="63" spans="9:12" ht="12.75">
      <c r="I63" s="8"/>
      <c r="J63" s="13"/>
      <c r="L63" s="13"/>
    </row>
    <row r="64" spans="9:12" ht="12.75">
      <c r="I64" s="8"/>
      <c r="J64" s="13"/>
      <c r="L64" s="13"/>
    </row>
    <row r="65" spans="9:12" ht="12.75">
      <c r="I65" s="8"/>
      <c r="J65" s="13"/>
      <c r="L65" s="13"/>
    </row>
    <row r="66" spans="9:12" ht="15.75">
      <c r="I66" s="8" t="s">
        <v>59</v>
      </c>
      <c r="J66" s="13">
        <f>J67/($C$31)^(1/J16-1/$C$16)</f>
        <v>1.0669092669079234</v>
      </c>
      <c r="L66" s="13">
        <f>L67/($C$31)^(1/L16-1/$C$16)</f>
        <v>1.1631368196521108</v>
      </c>
    </row>
    <row r="67" spans="9:12" ht="15.75">
      <c r="I67" s="8" t="s">
        <v>60</v>
      </c>
      <c r="J67" s="22">
        <f>(($C$17/2)^(J17/J16-$C$17/$C$16))^0.5</f>
        <v>1.0672815857911102</v>
      </c>
      <c r="K67" s="21"/>
      <c r="L67" s="22">
        <f>(($C$17/2)^(L17/L16-$C$17/$C$16))^0.5</f>
        <v>1.16408413853496</v>
      </c>
    </row>
    <row r="68" spans="9:12" ht="15.75">
      <c r="I68" s="8" t="s">
        <v>61</v>
      </c>
      <c r="J68" s="22">
        <f>J67/((1+0.5*$C$16*J57^2)^(1/J16-1/$C$16))</f>
        <v>1.0075474139395098</v>
      </c>
      <c r="K68" s="21"/>
      <c r="L68" s="22">
        <f>L67/((1+0.5*$C$16*L57^2)^(1/L16-1/$C$16))</f>
        <v>1.036102777863902</v>
      </c>
    </row>
    <row r="73" spans="9:12" ht="12.75">
      <c r="I73" s="8" t="s">
        <v>55</v>
      </c>
      <c r="J73" s="13">
        <f>J66/J$61</f>
        <v>1.0627419643142815</v>
      </c>
      <c r="L73" s="13">
        <f>L66/L$61</f>
        <v>1.1408987830508919</v>
      </c>
    </row>
    <row r="74" spans="2:12" ht="12.75">
      <c r="B74" s="8"/>
      <c r="C74" s="13"/>
      <c r="I74" s="8" t="s">
        <v>56</v>
      </c>
      <c r="J74" s="22">
        <f>J67/J$61</f>
        <v>1.063112828935615</v>
      </c>
      <c r="L74" s="22">
        <f>L67/L$61</f>
        <v>1.1418279901246797</v>
      </c>
    </row>
    <row r="75" spans="2:12" ht="12.75">
      <c r="B75" s="8"/>
      <c r="C75" s="13"/>
      <c r="I75" s="8" t="s">
        <v>57</v>
      </c>
      <c r="J75" s="22">
        <f>J68/J$61</f>
        <v>1.0036119762396423</v>
      </c>
      <c r="L75" s="22">
        <f>L68/L$61</f>
        <v>1.0162935077011248</v>
      </c>
    </row>
    <row r="76" spans="2:12" ht="12.75">
      <c r="B76" s="8"/>
      <c r="C76" s="13"/>
      <c r="L76" s="13"/>
    </row>
    <row r="77" spans="2:12" ht="12.75">
      <c r="B77" s="8"/>
      <c r="C77" s="13"/>
      <c r="L77" s="13"/>
    </row>
    <row r="78" spans="2:13" ht="14.25">
      <c r="B78" s="8" t="s">
        <v>22</v>
      </c>
      <c r="C78" s="13">
        <f>(C8/C11)*((C10*C14/C15)^0.5)*((C15+1)/2)^((C15+1)/(2*C16))</f>
        <v>0.044010563921171135</v>
      </c>
      <c r="D78" s="8" t="s">
        <v>25</v>
      </c>
      <c r="J78" s="13">
        <f>J73*$C$78</f>
        <v>0.04677187315216466</v>
      </c>
      <c r="K78" s="8" t="s">
        <v>25</v>
      </c>
      <c r="L78" s="13">
        <f>L73*$C$78</f>
        <v>0.05021159881904764</v>
      </c>
      <c r="M78" s="8" t="s">
        <v>25</v>
      </c>
    </row>
    <row r="79" spans="2:13" ht="12.75">
      <c r="B79" s="8"/>
      <c r="C79" s="13"/>
      <c r="D79" s="8"/>
      <c r="J79" s="13"/>
      <c r="K79" s="8"/>
      <c r="L79" s="13"/>
      <c r="M79" s="8"/>
    </row>
    <row r="80" spans="2:13" ht="12.75">
      <c r="B80" s="8"/>
      <c r="J80" s="13"/>
      <c r="K80" s="8"/>
      <c r="L80" s="13"/>
      <c r="M80" s="8"/>
    </row>
    <row r="81" spans="2:13" ht="15.75">
      <c r="B81" s="8"/>
      <c r="C81" s="14">
        <f>C8*C14*C49/(C46*C11*C54)</f>
        <v>0.044010563921171135</v>
      </c>
      <c r="D81" s="8" t="s">
        <v>25</v>
      </c>
      <c r="I81" s="8" t="s">
        <v>62</v>
      </c>
      <c r="J81" s="13">
        <f>J61*J78</f>
        <v>0.04695527848934101</v>
      </c>
      <c r="K81" s="8" t="s">
        <v>25</v>
      </c>
      <c r="L81" s="13">
        <f>L61*L78</f>
        <v>0.05119030735036693</v>
      </c>
      <c r="M81" s="8" t="s">
        <v>25</v>
      </c>
    </row>
    <row r="84" spans="2:13" ht="12.75">
      <c r="B84" s="8" t="s">
        <v>32</v>
      </c>
      <c r="C84" s="9">
        <f>(2*$C$18*($C$10-C43))^0.5</f>
        <v>1111.516787176742</v>
      </c>
      <c r="D84" s="8" t="s">
        <v>15</v>
      </c>
      <c r="E84" s="9"/>
      <c r="F84" s="8"/>
      <c r="G84" s="23"/>
      <c r="H84" s="8"/>
      <c r="J84" s="9">
        <f>(2*$C$18*($C$10-J43))^0.5</f>
        <v>1073.434725175195</v>
      </c>
      <c r="K84" s="8" t="s">
        <v>15</v>
      </c>
      <c r="L84" s="9">
        <f>(2*$C$18*($C$10-L43))^0.5</f>
        <v>1028.0078708660583</v>
      </c>
      <c r="M84" s="8" t="s">
        <v>15</v>
      </c>
    </row>
    <row r="85" spans="2:13" ht="12.75">
      <c r="B85" s="8"/>
      <c r="C85" s="9"/>
      <c r="D85" s="8"/>
      <c r="E85" s="9"/>
      <c r="F85" s="8"/>
      <c r="G85" s="23"/>
      <c r="H85" s="8"/>
      <c r="J85" s="9"/>
      <c r="K85" s="8"/>
      <c r="L85" s="9"/>
      <c r="M85" s="8"/>
    </row>
    <row r="86" spans="2:4" ht="12.75">
      <c r="B86" s="8"/>
      <c r="C86" s="23">
        <f>C88*C91</f>
        <v>1111.516787176742</v>
      </c>
      <c r="D86" s="8" t="s">
        <v>15</v>
      </c>
    </row>
    <row r="87" spans="2:4" ht="12.75">
      <c r="B87" s="8"/>
      <c r="C87" s="13"/>
      <c r="D87" s="8"/>
    </row>
    <row r="88" spans="2:13" ht="12.75">
      <c r="B88" s="8" t="s">
        <v>31</v>
      </c>
      <c r="C88" s="9">
        <f>(C15*C14*C43)^0.5</f>
        <v>514.7387573953013</v>
      </c>
      <c r="D88" s="8" t="s">
        <v>15</v>
      </c>
      <c r="E88" s="9"/>
      <c r="F88" s="8"/>
      <c r="J88" s="9">
        <f>($C$15*$C$14*J43)^0.5</f>
        <v>530.6575921982185</v>
      </c>
      <c r="K88" s="8" t="s">
        <v>15</v>
      </c>
      <c r="L88" s="9">
        <f>($C$15*$C$14*L43)^0.5</f>
        <v>548.3519540290586</v>
      </c>
      <c r="M88" s="8" t="s">
        <v>15</v>
      </c>
    </row>
    <row r="89" spans="2:6" ht="12.75">
      <c r="B89" s="8"/>
      <c r="C89" s="9"/>
      <c r="D89" s="8"/>
      <c r="E89" s="9"/>
      <c r="F89" s="8"/>
    </row>
    <row r="90" spans="2:4" ht="12.75">
      <c r="B90" s="8"/>
      <c r="C90" s="13"/>
      <c r="D90" s="8"/>
    </row>
    <row r="91" spans="2:12" ht="12.75">
      <c r="B91" s="8" t="s">
        <v>26</v>
      </c>
      <c r="C91" s="9">
        <f>((2/C16)*(C35^(-C16/C15)-1))^0.5</f>
        <v>2.1593804064828483</v>
      </c>
      <c r="J91" s="9">
        <f>J84/J88</f>
        <v>2.022838721158315</v>
      </c>
      <c r="L91" s="9">
        <f>L84/L88</f>
        <v>1.8747227274612421</v>
      </c>
    </row>
    <row r="92" spans="2:3" ht="12.75">
      <c r="B92" s="8"/>
      <c r="C92" s="9"/>
    </row>
    <row r="93" spans="2:4" ht="12.75">
      <c r="B93" s="8"/>
      <c r="C93" s="9"/>
      <c r="D93" s="8"/>
    </row>
    <row r="94" spans="2:3" ht="12.75">
      <c r="B94" s="8"/>
      <c r="C94" s="9"/>
    </row>
    <row r="95" spans="2:3" ht="12.75">
      <c r="B95" s="8" t="s">
        <v>27</v>
      </c>
      <c r="C95" s="13">
        <f>(((2+C16*C91^2)/((C15+1)))^((C15+1)/(2*C16)))/C91</f>
        <v>1.9343842555791915</v>
      </c>
    </row>
    <row r="96" spans="2:3" ht="12.75">
      <c r="B96" s="8"/>
      <c r="C96" s="13"/>
    </row>
    <row r="97" spans="2:3" ht="12.75">
      <c r="B97" s="8"/>
      <c r="C97" s="13"/>
    </row>
    <row r="98" spans="2:13" ht="14.25">
      <c r="B98" s="8" t="s">
        <v>28</v>
      </c>
      <c r="C98" s="13">
        <f>$C$8*$C$14*C43/($C$12*C86)</f>
        <v>0.08513334192827504</v>
      </c>
      <c r="D98" s="8" t="s">
        <v>25</v>
      </c>
      <c r="J98" s="13">
        <f>$C$8*$C$14*J43/($C$12*J84)</f>
        <v>0.09369039986227767</v>
      </c>
      <c r="K98" s="8" t="s">
        <v>25</v>
      </c>
      <c r="L98" s="13">
        <f>$C$8*$C$14*L43/($C$12*L84)</f>
        <v>0.10446343915988794</v>
      </c>
      <c r="M98" s="8" t="s">
        <v>25</v>
      </c>
    </row>
    <row r="99" spans="2:4" ht="12.75">
      <c r="B99" s="8"/>
      <c r="C99" s="13"/>
      <c r="D99" s="8"/>
    </row>
    <row r="100" spans="3:4" ht="14.25">
      <c r="C100" s="14">
        <f>C95*C78</f>
        <v>0.08513334192827504</v>
      </c>
      <c r="D100" s="8" t="s">
        <v>25</v>
      </c>
    </row>
    <row r="101" ht="12.75">
      <c r="B101" s="4"/>
    </row>
    <row r="102" ht="12.75">
      <c r="B102" s="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DIEM - Università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diem039</dc:creator>
  <cp:keywords/>
  <dc:description/>
  <cp:lastModifiedBy>Pier Ruggero Spina</cp:lastModifiedBy>
  <cp:lastPrinted>2016-11-17T14:46:34Z</cp:lastPrinted>
  <dcterms:created xsi:type="dcterms:W3CDTF">2006-01-24T11:36:33Z</dcterms:created>
  <dcterms:modified xsi:type="dcterms:W3CDTF">2021-10-25T09:05:04Z</dcterms:modified>
  <cp:category/>
  <cp:version/>
  <cp:contentType/>
  <cp:contentStatus/>
</cp:coreProperties>
</file>