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155" windowHeight="8505"/>
  </bookViews>
  <sheets>
    <sheet name="CrystalBallProject (svolto)" sheetId="1" r:id="rId1"/>
  </sheets>
  <externalReferences>
    <externalReference r:id="rId2"/>
  </externalReferences>
  <definedNames>
    <definedName name="CB_Block_00000000000000000000000000000000" localSheetId="0" hidden="1">"'7.0.0.0"</definedName>
    <definedName name="CB_Block_00000000000000000000000000000001" localSheetId="0" hidden="1">"'634676933429262634"</definedName>
    <definedName name="CB_Block_00000000000000000000000000000003" localSheetId="0" hidden="1">"'11.1.2391.0"</definedName>
    <definedName name="CB_BlockExt_00000000000000000000000000000003" localSheetId="0" hidden="1">"'11.1.2.1.000"</definedName>
    <definedName name="CBx_Sheet_Guid" localSheetId="0" hidden="1">"'bebd40d6-3f8b-405e-9ebf-a44f0e0487ca"</definedName>
    <definedName name="CBx_SheetRef" localSheetId="0" hidden="1">[1]CB_DATA_!$E$14</definedName>
    <definedName name="CBx_StorageType" localSheetId="0" hidden="1">2</definedName>
  </definedNames>
  <calcPr calcId="145621"/>
</workbook>
</file>

<file path=xl/calcChain.xml><?xml version="1.0" encoding="utf-8"?>
<calcChain xmlns="http://schemas.openxmlformats.org/spreadsheetml/2006/main">
  <c r="B51" i="1" l="1"/>
  <c r="D48" i="1"/>
  <c r="E48" i="1" s="1"/>
  <c r="F48" i="1" s="1"/>
  <c r="G48" i="1" s="1"/>
  <c r="H48" i="1" s="1"/>
  <c r="B46" i="1"/>
  <c r="H44" i="1"/>
  <c r="H39" i="1"/>
  <c r="H40" i="1" s="1"/>
  <c r="D39" i="1"/>
  <c r="C39" i="1"/>
  <c r="H38" i="1"/>
  <c r="D37" i="1"/>
  <c r="E37" i="1" s="1"/>
  <c r="F37" i="1" s="1"/>
  <c r="G37" i="1" s="1"/>
  <c r="H37" i="1" s="1"/>
  <c r="D31" i="1"/>
  <c r="E31" i="1" s="1"/>
  <c r="F31" i="1" s="1"/>
  <c r="G31" i="1" s="1"/>
  <c r="D28" i="1"/>
  <c r="C28" i="1"/>
  <c r="E27" i="1"/>
  <c r="E39" i="1" s="1"/>
  <c r="D27" i="1"/>
  <c r="F27" i="1" s="1"/>
  <c r="F39" i="1" s="1"/>
  <c r="C27" i="1"/>
  <c r="G27" i="1" s="1"/>
  <c r="G39" i="1" s="1"/>
  <c r="C26" i="1"/>
  <c r="C25" i="1"/>
  <c r="C33" i="1" s="1"/>
  <c r="C42" i="1" s="1"/>
  <c r="D24" i="1"/>
  <c r="C24" i="1"/>
  <c r="C32" i="1" s="1"/>
  <c r="C41" i="1" s="1"/>
  <c r="E23" i="1"/>
  <c r="E28" i="1" s="1"/>
  <c r="D23" i="1"/>
  <c r="D25" i="1" s="1"/>
  <c r="D33" i="1" s="1"/>
  <c r="D42" i="1" s="1"/>
  <c r="F20" i="1"/>
  <c r="E20" i="1"/>
  <c r="D20" i="1"/>
  <c r="C20" i="1"/>
  <c r="B20" i="1"/>
  <c r="E19" i="1"/>
  <c r="F19" i="1" s="1"/>
  <c r="D19" i="1"/>
  <c r="C19" i="1"/>
  <c r="E13" i="1"/>
  <c r="D13" i="1"/>
  <c r="E24" i="1" s="1"/>
  <c r="C13" i="1"/>
  <c r="E12" i="1"/>
  <c r="F12" i="1" s="1"/>
  <c r="D12" i="1"/>
  <c r="C12" i="1"/>
  <c r="E34" i="1" l="1"/>
  <c r="E44" i="1" s="1"/>
  <c r="E32" i="1"/>
  <c r="E29" i="1"/>
  <c r="E38" i="1" s="1"/>
  <c r="E40" i="1" s="1"/>
  <c r="C29" i="1"/>
  <c r="F13" i="1"/>
  <c r="E25" i="1"/>
  <c r="E33" i="1" s="1"/>
  <c r="E42" i="1" s="1"/>
  <c r="D26" i="1"/>
  <c r="D29" i="1" s="1"/>
  <c r="D32" i="1"/>
  <c r="D41" i="1" s="1"/>
  <c r="E26" i="1"/>
  <c r="B52" i="1"/>
  <c r="B53" i="1" s="1"/>
  <c r="F23" i="1"/>
  <c r="F25" i="1" s="1"/>
  <c r="B49" i="1"/>
  <c r="B50" i="1" s="1"/>
  <c r="D38" i="1" l="1"/>
  <c r="D40" i="1" s="1"/>
  <c r="D43" i="1" s="1"/>
  <c r="D34" i="1"/>
  <c r="D44" i="1" s="1"/>
  <c r="D45" i="1" s="1"/>
  <c r="D46" i="1" s="1"/>
  <c r="D51" i="1" s="1"/>
  <c r="C38" i="1"/>
  <c r="C40" i="1" s="1"/>
  <c r="C43" i="1" s="1"/>
  <c r="C34" i="1"/>
  <c r="C44" i="1" s="1"/>
  <c r="G24" i="1"/>
  <c r="F28" i="1"/>
  <c r="F33" i="1" s="1"/>
  <c r="F42" i="1" s="1"/>
  <c r="G23" i="1"/>
  <c r="F26" i="1"/>
  <c r="F24" i="1"/>
  <c r="E41" i="1"/>
  <c r="E43" i="1" s="1"/>
  <c r="E45" i="1" s="1"/>
  <c r="E46" i="1" s="1"/>
  <c r="E51" i="1" s="1"/>
  <c r="G26" i="1" l="1"/>
  <c r="G28" i="1"/>
  <c r="C45" i="1"/>
  <c r="C46" i="1" s="1"/>
  <c r="F29" i="1"/>
  <c r="F32" i="1"/>
  <c r="F41" i="1" s="1"/>
  <c r="G25" i="1"/>
  <c r="G33" i="1" s="1"/>
  <c r="G32" i="1"/>
  <c r="G29" i="1" l="1"/>
  <c r="F38" i="1"/>
  <c r="F40" i="1" s="1"/>
  <c r="F43" i="1" s="1"/>
  <c r="F34" i="1"/>
  <c r="F44" i="1" s="1"/>
  <c r="F45" i="1" s="1"/>
  <c r="F46" i="1" s="1"/>
  <c r="F51" i="1" s="1"/>
  <c r="H41" i="1"/>
  <c r="G41" i="1"/>
  <c r="C51" i="1"/>
  <c r="D49" i="1"/>
  <c r="D50" i="1" s="1"/>
  <c r="E49" i="1"/>
  <c r="E50" i="1" s="1"/>
  <c r="F49" i="1"/>
  <c r="F50" i="1" s="1"/>
  <c r="C49" i="1"/>
  <c r="C50" i="1" s="1"/>
  <c r="G42" i="1"/>
  <c r="H42" i="1"/>
  <c r="G38" i="1" l="1"/>
  <c r="G40" i="1" s="1"/>
  <c r="G43" i="1" s="1"/>
  <c r="G34" i="1"/>
  <c r="G44" i="1" s="1"/>
  <c r="H43" i="1"/>
  <c r="H45" i="1" s="1"/>
  <c r="H46" i="1" s="1"/>
  <c r="H51" i="1" s="1"/>
  <c r="E52" i="1"/>
  <c r="E53" i="1" s="1"/>
  <c r="C52" i="1"/>
  <c r="C53" i="1" s="1"/>
  <c r="D52" i="1"/>
  <c r="D53" i="1" s="1"/>
  <c r="F52" i="1"/>
  <c r="F53" i="1" s="1"/>
  <c r="G45" i="1" l="1"/>
  <c r="G46" i="1" s="1"/>
  <c r="G51" i="1" l="1"/>
  <c r="H49" i="1"/>
  <c r="H50" i="1" s="1"/>
  <c r="I2" i="1"/>
  <c r="G49" i="1"/>
  <c r="G50" i="1" s="1"/>
  <c r="I50" i="1" s="1"/>
  <c r="I3" i="1" s="1"/>
  <c r="I1" i="1" l="1"/>
  <c r="G52" i="1"/>
  <c r="G53" i="1" s="1"/>
  <c r="I53" i="1" s="1"/>
  <c r="I4" i="1" s="1"/>
  <c r="H52" i="1"/>
  <c r="H53" i="1" s="1"/>
</calcChain>
</file>

<file path=xl/sharedStrings.xml><?xml version="1.0" encoding="utf-8"?>
<sst xmlns="http://schemas.openxmlformats.org/spreadsheetml/2006/main" count="47" uniqueCount="44">
  <si>
    <t>aliquota imposta redditi</t>
  </si>
  <si>
    <t>NPV</t>
  </si>
  <si>
    <t>aliquota IVA</t>
  </si>
  <si>
    <t>IRR</t>
  </si>
  <si>
    <t>Tasso inflazione</t>
  </si>
  <si>
    <t>a partire dall'anno 2</t>
  </si>
  <si>
    <t>Pay-back period</t>
  </si>
  <si>
    <t>Durata crediti commerciali (gg)</t>
  </si>
  <si>
    <t>Discounted Pay-back period</t>
  </si>
  <si>
    <t>Durata debiti commerciali su costi materia prima  (gg)</t>
  </si>
  <si>
    <t>Costo iniziale dell'impianto (€)</t>
  </si>
  <si>
    <t>Vita utile impianto (anni)</t>
  </si>
  <si>
    <t>Tasso di attualizzazione oggi</t>
  </si>
  <si>
    <t>Costo servizi anno</t>
  </si>
  <si>
    <t>Possibile aumento aliquota imposta sui redditi</t>
  </si>
  <si>
    <t>Quantità</t>
  </si>
  <si>
    <t>Prezzo di vendita primo anno (€)</t>
  </si>
  <si>
    <t>Acquisti e consumi di materie prime (€) al primo anno</t>
  </si>
  <si>
    <t>Unita Personale</t>
  </si>
  <si>
    <t>Costo per persona al primo anno (€)</t>
  </si>
  <si>
    <t>Aliquota imposta sui redditi</t>
  </si>
  <si>
    <t>Tasso di crescita delle unità vendute</t>
  </si>
  <si>
    <t>Conto economico</t>
  </si>
  <si>
    <t>Ricavi di vendita</t>
  </si>
  <si>
    <t>Consumi di materie prime</t>
  </si>
  <si>
    <t>Personale</t>
  </si>
  <si>
    <t>Ammortamenti</t>
  </si>
  <si>
    <t>Servizi</t>
  </si>
  <si>
    <t>Reddito operativo</t>
  </si>
  <si>
    <t>Crediti commerciali</t>
  </si>
  <si>
    <t>Debiti commerciali</t>
  </si>
  <si>
    <t>Imposte sul reddito operativo</t>
  </si>
  <si>
    <t>Flussi di cassa</t>
  </si>
  <si>
    <t>+ ammortamenti</t>
  </si>
  <si>
    <t>Flusso potenziale di cassa operativo corrente</t>
  </si>
  <si>
    <t>+/- Variazione crediti commerciali</t>
  </si>
  <si>
    <t>+/- Variazione debiti commerciali</t>
  </si>
  <si>
    <t>Flusso di cassa operativo corrente</t>
  </si>
  <si>
    <t>- imposte sul reddito operativo</t>
  </si>
  <si>
    <t>FC op. corr. al netto imposte su reddito operativo</t>
  </si>
  <si>
    <t>Flusso di cassa operativo</t>
  </si>
  <si>
    <t>Flusso di cassa operativo cumulato</t>
  </si>
  <si>
    <t>VA FCO al netto delle imposte su reddito operativo</t>
  </si>
  <si>
    <t>Flusso di cassa operativo attualizzato cumulato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</si>
</sst>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;\(#,##0\)"/>
    <numFmt numFmtId="165" formatCode="#,##0;[Red]\(#,##0\)"/>
    <numFmt numFmtId="166" formatCode="0.0%"/>
    <numFmt numFmtId="167" formatCode="#,##0.00;\(#,##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0" fillId="0" borderId="1" xfId="0" applyFont="1" applyBorder="1"/>
    <xf numFmtId="9" fontId="1" fillId="0" borderId="1" xfId="2" applyFont="1" applyBorder="1"/>
    <xf numFmtId="0" fontId="2" fillId="0" borderId="0" xfId="0" applyFont="1"/>
    <xf numFmtId="164" fontId="0" fillId="0" borderId="0" xfId="0" applyNumberFormat="1"/>
    <xf numFmtId="0" fontId="2" fillId="2" borderId="2" xfId="0" applyFont="1" applyFill="1" applyBorder="1" applyAlignment="1">
      <alignment horizontal="left"/>
    </xf>
    <xf numFmtId="165" fontId="2" fillId="0" borderId="2" xfId="0" applyNumberFormat="1" applyFont="1" applyFill="1" applyBorder="1"/>
    <xf numFmtId="10" fontId="2" fillId="0" borderId="2" xfId="0" applyNumberFormat="1" applyFont="1" applyFill="1" applyBorder="1"/>
    <xf numFmtId="0" fontId="0" fillId="0" borderId="1" xfId="0" applyFill="1" applyBorder="1"/>
    <xf numFmtId="166" fontId="0" fillId="0" borderId="1" xfId="2" applyNumberFormat="1" applyFont="1" applyFill="1" applyBorder="1"/>
    <xf numFmtId="167" fontId="2" fillId="0" borderId="2" xfId="0" applyNumberFormat="1" applyFont="1" applyFill="1" applyBorder="1"/>
    <xf numFmtId="164" fontId="0" fillId="0" borderId="1" xfId="0" applyNumberFormat="1" applyFill="1" applyBorder="1"/>
    <xf numFmtId="164" fontId="0" fillId="0" borderId="1" xfId="0" applyNumberFormat="1" applyBorder="1"/>
    <xf numFmtId="9" fontId="0" fillId="0" borderId="1" xfId="2" applyFont="1" applyBorder="1"/>
    <xf numFmtId="9" fontId="0" fillId="0" borderId="1" xfId="2" applyFont="1" applyFill="1" applyBorder="1"/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ill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10" fontId="0" fillId="0" borderId="1" xfId="2" applyNumberFormat="1" applyFont="1" applyFill="1" applyBorder="1"/>
    <xf numFmtId="0" fontId="3" fillId="0" borderId="0" xfId="0" applyFont="1" applyFill="1"/>
    <xf numFmtId="164" fontId="2" fillId="0" borderId="0" xfId="0" applyNumberFormat="1" applyFont="1"/>
    <xf numFmtId="164" fontId="2" fillId="0" borderId="0" xfId="0" quotePrefix="1" applyNumberFormat="1" applyFont="1"/>
    <xf numFmtId="0" fontId="2" fillId="0" borderId="3" xfId="0" applyFont="1" applyFill="1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3" xfId="0" applyFill="1" applyBorder="1"/>
    <xf numFmtId="164" fontId="0" fillId="0" borderId="1" xfId="1" applyNumberFormat="1" applyFont="1" applyBorder="1"/>
    <xf numFmtId="164" fontId="2" fillId="0" borderId="1" xfId="0" applyNumberFormat="1" applyFont="1" applyBorder="1"/>
    <xf numFmtId="0" fontId="2" fillId="0" borderId="0" xfId="0" applyFont="1" applyFill="1"/>
    <xf numFmtId="0" fontId="0" fillId="0" borderId="3" xfId="0" applyFont="1" applyBorder="1"/>
    <xf numFmtId="164" fontId="0" fillId="0" borderId="1" xfId="0" applyNumberFormat="1" applyFont="1" applyBorder="1"/>
    <xf numFmtId="0" fontId="0" fillId="0" borderId="3" xfId="0" applyBorder="1"/>
    <xf numFmtId="0" fontId="2" fillId="0" borderId="3" xfId="0" applyFont="1" applyBorder="1"/>
    <xf numFmtId="0" fontId="0" fillId="0" borderId="3" xfId="0" quotePrefix="1" applyFont="1" applyBorder="1"/>
    <xf numFmtId="0" fontId="0" fillId="0" borderId="3" xfId="0" quotePrefix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2" fillId="0" borderId="0" xfId="0" applyFont="1" applyBorder="1"/>
    <xf numFmtId="164" fontId="2" fillId="0" borderId="0" xfId="0" applyNumberFormat="1" applyFont="1" applyBorder="1"/>
    <xf numFmtId="0" fontId="0" fillId="0" borderId="5" xfId="0" applyFont="1" applyBorder="1"/>
    <xf numFmtId="164" fontId="0" fillId="0" borderId="6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4" borderId="8" xfId="0" applyFont="1" applyFill="1" applyBorder="1"/>
    <xf numFmtId="164" fontId="0" fillId="4" borderId="2" xfId="0" applyNumberFormat="1" applyFont="1" applyFill="1" applyBorder="1"/>
    <xf numFmtId="167" fontId="0" fillId="0" borderId="0" xfId="0" applyNumberFormat="1" applyFill="1" applyBorder="1"/>
    <xf numFmtId="167" fontId="0" fillId="4" borderId="2" xfId="0" applyNumberFormat="1" applyFont="1" applyFill="1" applyBorder="1"/>
    <xf numFmtId="167" fontId="0" fillId="0" borderId="0" xfId="0" applyNumberFormat="1"/>
    <xf numFmtId="0" fontId="0" fillId="0" borderId="8" xfId="0" applyFont="1" applyFill="1" applyBorder="1"/>
    <xf numFmtId="164" fontId="0" fillId="0" borderId="2" xfId="0" applyNumberFormat="1" applyFont="1" applyFill="1" applyBorder="1"/>
    <xf numFmtId="0" fontId="0" fillId="5" borderId="8" xfId="0" applyFont="1" applyFill="1" applyBorder="1"/>
    <xf numFmtId="164" fontId="0" fillId="5" borderId="2" xfId="0" applyNumberFormat="1" applyFont="1" applyFill="1" applyBorder="1"/>
    <xf numFmtId="0" fontId="0" fillId="5" borderId="9" xfId="0" applyFont="1" applyFill="1" applyBorder="1"/>
    <xf numFmtId="167" fontId="0" fillId="5" borderId="10" xfId="0" applyNumberFormat="1" applyFont="1" applyFill="1" applyBorder="1"/>
  </cellXfs>
  <cellStyles count="4">
    <cellStyle name="Migliaia" xfId="1" builtinId="3"/>
    <cellStyle name="Normale" xfId="0" builtinId="0"/>
    <cellStyle name="Normale 2" xfId="3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so%20Progetto%20CrystalBall%20201404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_DATA_"/>
      <sheetName val="CrystalBallProject (svolto)"/>
      <sheetName val="CrystalBallProject (no MonteCa)"/>
      <sheetName val="CrystalBallProject"/>
      <sheetName val="elasticità domanda"/>
      <sheetName val="Foglio2"/>
    </sheetNames>
    <sheetDataSet>
      <sheetData sheetId="0">
        <row r="14">
          <cell r="E14" t="str">
            <v>bebd40d6-3f8b-405e-9ebf-a44f0e0487ca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topLeftCell="A3" zoomScale="90" zoomScaleNormal="90" workbookViewId="0">
      <selection activeCell="J24" sqref="J24"/>
    </sheetView>
  </sheetViews>
  <sheetFormatPr defaultRowHeight="15" x14ac:dyDescent="0.25"/>
  <cols>
    <col min="1" max="1" width="47.85546875" customWidth="1"/>
    <col min="2" max="2" width="10" bestFit="1" customWidth="1"/>
    <col min="3" max="3" width="9.140625" customWidth="1"/>
    <col min="9" max="9" width="10" bestFit="1" customWidth="1"/>
    <col min="10" max="10" width="9.7109375" bestFit="1" customWidth="1"/>
  </cols>
  <sheetData>
    <row r="1" spans="1:10" x14ac:dyDescent="0.25">
      <c r="A1" s="1" t="s">
        <v>0</v>
      </c>
      <c r="B1" s="2">
        <v>0.3</v>
      </c>
      <c r="D1" s="3"/>
      <c r="E1" s="4"/>
      <c r="F1" s="5" t="s">
        <v>1</v>
      </c>
      <c r="G1" s="5"/>
      <c r="H1" s="5"/>
      <c r="I1" s="6">
        <f>SUM(B51:H51)</f>
        <v>-88.717300918901856</v>
      </c>
      <c r="J1" s="4"/>
    </row>
    <row r="2" spans="1:10" x14ac:dyDescent="0.25">
      <c r="A2" s="1" t="s">
        <v>2</v>
      </c>
      <c r="B2" s="2">
        <v>0</v>
      </c>
      <c r="F2" s="5" t="s">
        <v>3</v>
      </c>
      <c r="G2" s="5"/>
      <c r="H2" s="5"/>
      <c r="I2" s="7">
        <f>IRR(B46:H46)</f>
        <v>0.20148421198578625</v>
      </c>
    </row>
    <row r="3" spans="1:10" x14ac:dyDescent="0.25">
      <c r="A3" s="8" t="s">
        <v>4</v>
      </c>
      <c r="B3" s="9">
        <v>0.02</v>
      </c>
      <c r="C3" t="s">
        <v>5</v>
      </c>
      <c r="F3" s="5" t="s">
        <v>6</v>
      </c>
      <c r="G3" s="5"/>
      <c r="H3" s="5"/>
      <c r="I3" s="10">
        <f>I50</f>
        <v>4</v>
      </c>
    </row>
    <row r="4" spans="1:10" x14ac:dyDescent="0.25">
      <c r="A4" s="8" t="s">
        <v>7</v>
      </c>
      <c r="B4" s="11">
        <v>100</v>
      </c>
      <c r="F4" s="5" t="s">
        <v>8</v>
      </c>
      <c r="G4" s="5"/>
      <c r="H4" s="5"/>
      <c r="I4" s="10" t="str">
        <f>+I53</f>
        <v>NO</v>
      </c>
    </row>
    <row r="5" spans="1:10" x14ac:dyDescent="0.25">
      <c r="A5" s="8" t="s">
        <v>9</v>
      </c>
      <c r="B5" s="11">
        <v>60</v>
      </c>
    </row>
    <row r="6" spans="1:10" x14ac:dyDescent="0.25">
      <c r="A6" s="8" t="s">
        <v>10</v>
      </c>
      <c r="B6" s="11">
        <v>2000</v>
      </c>
    </row>
    <row r="7" spans="1:10" x14ac:dyDescent="0.25">
      <c r="A7" s="8" t="s">
        <v>11</v>
      </c>
      <c r="B7" s="12">
        <v>5</v>
      </c>
    </row>
    <row r="8" spans="1:10" x14ac:dyDescent="0.25">
      <c r="A8" s="8" t="s">
        <v>12</v>
      </c>
      <c r="B8" s="13">
        <v>0.15</v>
      </c>
    </row>
    <row r="9" spans="1:10" x14ac:dyDescent="0.25">
      <c r="A9" s="8" t="s">
        <v>13</v>
      </c>
      <c r="B9" s="11">
        <v>28</v>
      </c>
    </row>
    <row r="10" spans="1:10" x14ac:dyDescent="0.25">
      <c r="A10" s="8" t="s">
        <v>14</v>
      </c>
      <c r="B10" s="14">
        <v>0</v>
      </c>
    </row>
    <row r="11" spans="1:10" x14ac:dyDescent="0.25">
      <c r="A11" s="15"/>
      <c r="B11" s="16"/>
    </row>
    <row r="12" spans="1:10" x14ac:dyDescent="0.25">
      <c r="A12" s="17"/>
      <c r="B12" s="18">
        <v>1</v>
      </c>
      <c r="C12" s="18">
        <f>1+B12</f>
        <v>2</v>
      </c>
      <c r="D12" s="18">
        <f>1+C12</f>
        <v>3</v>
      </c>
      <c r="E12" s="18">
        <f>1+D12</f>
        <v>4</v>
      </c>
      <c r="F12" s="18">
        <f>1+E12</f>
        <v>5</v>
      </c>
    </row>
    <row r="13" spans="1:10" x14ac:dyDescent="0.25">
      <c r="A13" s="8" t="s">
        <v>15</v>
      </c>
      <c r="B13" s="11">
        <v>145</v>
      </c>
      <c r="C13" s="19">
        <f>+B13*(1+C21)</f>
        <v>147.17499999999998</v>
      </c>
      <c r="D13" s="19">
        <f t="shared" ref="D13:F13" si="0">+C13*(1+D21)</f>
        <v>150.11849999999998</v>
      </c>
      <c r="E13" s="19">
        <f t="shared" si="0"/>
        <v>150.86909249999997</v>
      </c>
      <c r="F13" s="19">
        <f t="shared" si="0"/>
        <v>150.86909249999997</v>
      </c>
    </row>
    <row r="14" spans="1:10" x14ac:dyDescent="0.25">
      <c r="A14" s="8" t="s">
        <v>16</v>
      </c>
      <c r="B14" s="11">
        <v>15</v>
      </c>
    </row>
    <row r="15" spans="1:10" x14ac:dyDescent="0.25">
      <c r="A15" s="8" t="s">
        <v>17</v>
      </c>
      <c r="B15" s="11">
        <v>4</v>
      </c>
    </row>
    <row r="16" spans="1:10" x14ac:dyDescent="0.25">
      <c r="A16" s="8" t="s">
        <v>18</v>
      </c>
      <c r="B16" s="11">
        <v>10</v>
      </c>
      <c r="C16" s="11">
        <v>10</v>
      </c>
      <c r="D16" s="11">
        <v>10</v>
      </c>
      <c r="E16" s="11">
        <v>10</v>
      </c>
      <c r="F16" s="11">
        <v>10</v>
      </c>
    </row>
    <row r="17" spans="1:8" x14ac:dyDescent="0.25">
      <c r="A17" s="8" t="s">
        <v>19</v>
      </c>
      <c r="B17" s="11">
        <v>72</v>
      </c>
    </row>
    <row r="18" spans="1:8" x14ac:dyDescent="0.25">
      <c r="A18" s="17"/>
    </row>
    <row r="19" spans="1:8" x14ac:dyDescent="0.25">
      <c r="A19" s="15"/>
      <c r="B19" s="18">
        <v>1</v>
      </c>
      <c r="C19" s="18">
        <f>1+B19</f>
        <v>2</v>
      </c>
      <c r="D19" s="18">
        <f>1+C19</f>
        <v>3</v>
      </c>
      <c r="E19" s="18">
        <f>1+D19</f>
        <v>4</v>
      </c>
      <c r="F19" s="18">
        <f>1+E19</f>
        <v>5</v>
      </c>
    </row>
    <row r="20" spans="1:8" x14ac:dyDescent="0.25">
      <c r="A20" s="8" t="s">
        <v>20</v>
      </c>
      <c r="B20" s="13">
        <f>+$B$1</f>
        <v>0.3</v>
      </c>
      <c r="C20" s="13">
        <f t="shared" ref="C20" si="1">+$B$1</f>
        <v>0.3</v>
      </c>
      <c r="D20" s="13">
        <f>+$B$1+$B$10</f>
        <v>0.3</v>
      </c>
      <c r="E20" s="13">
        <f t="shared" ref="E20:F20" si="2">+$B$1+$B$10</f>
        <v>0.3</v>
      </c>
      <c r="F20" s="13">
        <f t="shared" si="2"/>
        <v>0.3</v>
      </c>
    </row>
    <row r="21" spans="1:8" x14ac:dyDescent="0.25">
      <c r="A21" s="8" t="s">
        <v>21</v>
      </c>
      <c r="B21" s="13"/>
      <c r="C21" s="20">
        <v>1.4999999999999999E-2</v>
      </c>
      <c r="D21" s="20">
        <v>0.02</v>
      </c>
      <c r="E21" s="20">
        <v>5.0000000000000001E-3</v>
      </c>
      <c r="F21" s="20">
        <v>0</v>
      </c>
    </row>
    <row r="22" spans="1:8" ht="18.75" x14ac:dyDescent="0.3">
      <c r="A22" s="21"/>
      <c r="B22" s="3"/>
      <c r="C22" s="22"/>
      <c r="D22" s="23"/>
      <c r="E22" s="23"/>
      <c r="F22" s="23"/>
      <c r="G22" s="22"/>
      <c r="H22" s="22"/>
    </row>
    <row r="23" spans="1:8" x14ac:dyDescent="0.25">
      <c r="A23" s="24" t="s">
        <v>22</v>
      </c>
      <c r="B23" s="25"/>
      <c r="C23" s="18">
        <v>1</v>
      </c>
      <c r="D23" s="18">
        <f>1+C23</f>
        <v>2</v>
      </c>
      <c r="E23" s="18">
        <f>1+D23</f>
        <v>3</v>
      </c>
      <c r="F23" s="18">
        <f>1+E23</f>
        <v>4</v>
      </c>
      <c r="G23" s="18">
        <f>1+F23</f>
        <v>5</v>
      </c>
      <c r="H23" s="26"/>
    </row>
    <row r="24" spans="1:8" x14ac:dyDescent="0.25">
      <c r="A24" s="27" t="s">
        <v>23</v>
      </c>
      <c r="B24" s="25"/>
      <c r="C24" s="12">
        <f>B13*$B$14*(1+$B$3)^(C23-1)</f>
        <v>2175</v>
      </c>
      <c r="D24" s="12">
        <f t="shared" ref="D24:G24" si="3">C13*$B$14*(1+$B$3)^(D23-1)</f>
        <v>2251.7774999999997</v>
      </c>
      <c r="E24" s="12">
        <f t="shared" si="3"/>
        <v>2342.7493109999996</v>
      </c>
      <c r="F24" s="12">
        <f t="shared" si="3"/>
        <v>2401.552318706099</v>
      </c>
      <c r="G24" s="12">
        <f t="shared" si="3"/>
        <v>2449.5833650802215</v>
      </c>
    </row>
    <row r="25" spans="1:8" x14ac:dyDescent="0.25">
      <c r="A25" s="27" t="s">
        <v>24</v>
      </c>
      <c r="B25" s="25"/>
      <c r="C25" s="28">
        <f>-B13*$B$15*(1+$B$3)^(C23-1)</f>
        <v>-580</v>
      </c>
      <c r="D25" s="28">
        <f t="shared" ref="D25:G25" si="4">-C13*$B$15*(1+$B$3)^(D23-1)</f>
        <v>-600.47399999999993</v>
      </c>
      <c r="E25" s="28">
        <f t="shared" si="4"/>
        <v>-624.73314959999993</v>
      </c>
      <c r="F25" s="28">
        <f t="shared" si="4"/>
        <v>-640.41395165495976</v>
      </c>
      <c r="G25" s="28">
        <f t="shared" si="4"/>
        <v>-653.22223068805908</v>
      </c>
    </row>
    <row r="26" spans="1:8" x14ac:dyDescent="0.25">
      <c r="A26" s="27" t="s">
        <v>25</v>
      </c>
      <c r="B26" s="25"/>
      <c r="C26" s="12">
        <f>-B16*$B$17*(1+$B$3)^(C23-1)</f>
        <v>-720</v>
      </c>
      <c r="D26" s="12">
        <f t="shared" ref="D26:G26" si="5">-C16*$B$17*(1+$B$3)^(D23-1)</f>
        <v>-734.4</v>
      </c>
      <c r="E26" s="12">
        <f t="shared" si="5"/>
        <v>-749.08799999999997</v>
      </c>
      <c r="F26" s="12">
        <f t="shared" si="5"/>
        <v>-764.06975999999997</v>
      </c>
      <c r="G26" s="12">
        <f t="shared" si="5"/>
        <v>-779.35115519999999</v>
      </c>
    </row>
    <row r="27" spans="1:8" x14ac:dyDescent="0.25">
      <c r="A27" s="27" t="s">
        <v>26</v>
      </c>
      <c r="B27" s="25"/>
      <c r="C27" s="12">
        <f>-$B$6/$B$7</f>
        <v>-400</v>
      </c>
      <c r="D27" s="12">
        <f>-IF($B$6&lt;=-SUM($C$27:C27),0,$B$6/$B$7)</f>
        <v>-400</v>
      </c>
      <c r="E27" s="12">
        <f>-IF($B$6&lt;=-SUM($C$27:D27),0,$B$6/$B$7)</f>
        <v>-400</v>
      </c>
      <c r="F27" s="12">
        <f>-IF($B$6&lt;=-SUM($C$27:E27),0,$B$6/$B$7)</f>
        <v>-400</v>
      </c>
      <c r="G27" s="12">
        <f>-IF($B$6&lt;=-SUM($C$27:F27),0,$B$6/$B$7)</f>
        <v>-400</v>
      </c>
      <c r="H27" s="4"/>
    </row>
    <row r="28" spans="1:8" x14ac:dyDescent="0.25">
      <c r="A28" s="27" t="s">
        <v>27</v>
      </c>
      <c r="B28" s="25"/>
      <c r="C28" s="12">
        <f>-$B$9*(1+$B$3)^(C23-1)</f>
        <v>-28</v>
      </c>
      <c r="D28" s="12">
        <f t="shared" ref="D28:G28" si="6">-$B$9*(1+$B$3)^(D23-1)</f>
        <v>-28.560000000000002</v>
      </c>
      <c r="E28" s="12">
        <f t="shared" si="6"/>
        <v>-29.1312</v>
      </c>
      <c r="F28" s="12">
        <f t="shared" si="6"/>
        <v>-29.713823999999999</v>
      </c>
      <c r="G28" s="12">
        <f t="shared" si="6"/>
        <v>-30.30810048</v>
      </c>
      <c r="H28" s="4"/>
    </row>
    <row r="29" spans="1:8" x14ac:dyDescent="0.25">
      <c r="A29" s="24" t="s">
        <v>28</v>
      </c>
      <c r="B29" s="25"/>
      <c r="C29" s="29">
        <f>SUM(C24:C28)</f>
        <v>447</v>
      </c>
      <c r="D29" s="29">
        <f>SUM(D24:D28)</f>
        <v>488.34349999999978</v>
      </c>
      <c r="E29" s="29">
        <f>SUM(E24:E28)</f>
        <v>539.79696139999965</v>
      </c>
      <c r="F29" s="29">
        <f>SUM(F24:F28)</f>
        <v>567.35478305113907</v>
      </c>
      <c r="G29" s="29">
        <f>SUM(G24:G28)</f>
        <v>586.70187871216251</v>
      </c>
    </row>
    <row r="30" spans="1:8" x14ac:dyDescent="0.25">
      <c r="A30" s="30"/>
      <c r="C30" s="22"/>
      <c r="D30" s="22"/>
      <c r="E30" s="22"/>
      <c r="F30" s="22"/>
      <c r="G30" s="22"/>
    </row>
    <row r="31" spans="1:8" x14ac:dyDescent="0.25">
      <c r="A31" s="3"/>
      <c r="C31" s="18">
        <v>1</v>
      </c>
      <c r="D31" s="18">
        <f>1+C31</f>
        <v>2</v>
      </c>
      <c r="E31" s="18">
        <f>1+D31</f>
        <v>3</v>
      </c>
      <c r="F31" s="18">
        <f>1+E31</f>
        <v>4</v>
      </c>
      <c r="G31" s="18">
        <f>1+F31</f>
        <v>5</v>
      </c>
    </row>
    <row r="32" spans="1:8" x14ac:dyDescent="0.25">
      <c r="A32" s="31" t="s">
        <v>29</v>
      </c>
      <c r="B32" s="25"/>
      <c r="C32" s="32">
        <f>C24/365*$B$4*(1+$B$2)</f>
        <v>595.89041095890411</v>
      </c>
      <c r="D32" s="32">
        <f t="shared" ref="D32:G32" si="7">D24/365*$B$4*(1+$B$2)</f>
        <v>616.92534246575337</v>
      </c>
      <c r="E32" s="32">
        <f t="shared" si="7"/>
        <v>641.84912630136978</v>
      </c>
      <c r="F32" s="32">
        <f t="shared" si="7"/>
        <v>657.95953937153399</v>
      </c>
      <c r="G32" s="32">
        <f t="shared" si="7"/>
        <v>671.11873015896481</v>
      </c>
    </row>
    <row r="33" spans="1:10" x14ac:dyDescent="0.25">
      <c r="A33" s="31" t="s">
        <v>30</v>
      </c>
      <c r="B33" s="25"/>
      <c r="C33" s="32">
        <f>-(C25+C28)/365*$B$5*(1+$B$2)</f>
        <v>99.945205479452056</v>
      </c>
      <c r="D33" s="32">
        <f t="shared" ref="D33:G33" si="8">-(D25+D28)/365*$B$5*(1+$B$2)</f>
        <v>103.40284931506848</v>
      </c>
      <c r="E33" s="32">
        <f t="shared" si="8"/>
        <v>107.48455061917807</v>
      </c>
      <c r="F33" s="32">
        <f t="shared" si="8"/>
        <v>110.15799051862354</v>
      </c>
      <c r="G33" s="32">
        <f t="shared" si="8"/>
        <v>112.36115032899602</v>
      </c>
    </row>
    <row r="34" spans="1:10" x14ac:dyDescent="0.25">
      <c r="A34" s="33" t="s">
        <v>31</v>
      </c>
      <c r="B34" s="25"/>
      <c r="C34" s="32">
        <f>-B20*C29</f>
        <v>-134.1</v>
      </c>
      <c r="D34" s="32">
        <f t="shared" ref="D34:G34" si="9">-C20*D29</f>
        <v>-146.50304999999992</v>
      </c>
      <c r="E34" s="32">
        <f t="shared" si="9"/>
        <v>-161.93908841999988</v>
      </c>
      <c r="F34" s="32">
        <f t="shared" si="9"/>
        <v>-170.2064349153417</v>
      </c>
      <c r="G34" s="32">
        <f t="shared" si="9"/>
        <v>-176.01056361364874</v>
      </c>
    </row>
    <row r="35" spans="1:10" x14ac:dyDescent="0.25">
      <c r="A35" s="3"/>
      <c r="C35" s="22"/>
      <c r="D35" s="22"/>
      <c r="E35" s="22"/>
      <c r="F35" s="22"/>
      <c r="G35" s="22"/>
    </row>
    <row r="36" spans="1:10" x14ac:dyDescent="0.25">
      <c r="B36" s="22"/>
      <c r="C36" s="22"/>
      <c r="D36" s="22"/>
      <c r="E36" s="22"/>
      <c r="F36" s="22"/>
      <c r="G36" s="22"/>
      <c r="H36" s="22"/>
    </row>
    <row r="37" spans="1:10" x14ac:dyDescent="0.25">
      <c r="A37" s="34" t="s">
        <v>32</v>
      </c>
      <c r="B37" s="18">
        <v>0</v>
      </c>
      <c r="C37" s="18">
        <v>1</v>
      </c>
      <c r="D37" s="18">
        <f>1+C37</f>
        <v>2</v>
      </c>
      <c r="E37" s="18">
        <f>1+D37</f>
        <v>3</v>
      </c>
      <c r="F37" s="18">
        <f>1+E37</f>
        <v>4</v>
      </c>
      <c r="G37" s="18">
        <f>1+F37</f>
        <v>5</v>
      </c>
      <c r="H37" s="18">
        <f>1+G37</f>
        <v>6</v>
      </c>
    </row>
    <row r="38" spans="1:10" x14ac:dyDescent="0.25">
      <c r="A38" s="31" t="s">
        <v>28</v>
      </c>
      <c r="B38" s="32"/>
      <c r="C38" s="32">
        <f>+C29</f>
        <v>447</v>
      </c>
      <c r="D38" s="32">
        <f t="shared" ref="D38:H38" si="10">+D29</f>
        <v>488.34349999999978</v>
      </c>
      <c r="E38" s="32">
        <f t="shared" si="10"/>
        <v>539.79696139999965</v>
      </c>
      <c r="F38" s="32">
        <f t="shared" si="10"/>
        <v>567.35478305113907</v>
      </c>
      <c r="G38" s="32">
        <f t="shared" si="10"/>
        <v>586.70187871216251</v>
      </c>
      <c r="H38" s="32">
        <f t="shared" si="10"/>
        <v>0</v>
      </c>
    </row>
    <row r="39" spans="1:10" x14ac:dyDescent="0.25">
      <c r="A39" s="35" t="s">
        <v>33</v>
      </c>
      <c r="B39" s="32"/>
      <c r="C39" s="32">
        <f>-C27</f>
        <v>400</v>
      </c>
      <c r="D39" s="32">
        <f t="shared" ref="D39:H39" si="11">-D27</f>
        <v>400</v>
      </c>
      <c r="E39" s="32">
        <f t="shared" si="11"/>
        <v>400</v>
      </c>
      <c r="F39" s="32">
        <f t="shared" si="11"/>
        <v>400</v>
      </c>
      <c r="G39" s="32">
        <f t="shared" si="11"/>
        <v>400</v>
      </c>
      <c r="H39" s="32">
        <f t="shared" si="11"/>
        <v>0</v>
      </c>
    </row>
    <row r="40" spans="1:10" x14ac:dyDescent="0.25">
      <c r="A40" s="34" t="s">
        <v>34</v>
      </c>
      <c r="B40" s="29"/>
      <c r="C40" s="29">
        <f t="shared" ref="C40:H40" si="12">+C39+C38</f>
        <v>847</v>
      </c>
      <c r="D40" s="29">
        <f t="shared" si="12"/>
        <v>888.34349999999972</v>
      </c>
      <c r="E40" s="29">
        <f t="shared" si="12"/>
        <v>939.79696139999965</v>
      </c>
      <c r="F40" s="29">
        <f t="shared" si="12"/>
        <v>967.35478305113907</v>
      </c>
      <c r="G40" s="29">
        <f t="shared" si="12"/>
        <v>986.70187871216251</v>
      </c>
      <c r="H40" s="29">
        <f t="shared" si="12"/>
        <v>0</v>
      </c>
    </row>
    <row r="41" spans="1:10" x14ac:dyDescent="0.25">
      <c r="A41" s="35" t="s">
        <v>35</v>
      </c>
      <c r="B41" s="32"/>
      <c r="C41" s="32">
        <f>-C32+B32</f>
        <v>-595.89041095890411</v>
      </c>
      <c r="D41" s="32">
        <f t="shared" ref="D41:H41" si="13">-D32+C32</f>
        <v>-21.034931506849261</v>
      </c>
      <c r="E41" s="32">
        <f t="shared" si="13"/>
        <v>-24.923783835616405</v>
      </c>
      <c r="F41" s="32">
        <f t="shared" si="13"/>
        <v>-16.110413070164213</v>
      </c>
      <c r="G41" s="32">
        <f t="shared" si="13"/>
        <v>-13.159190787430816</v>
      </c>
      <c r="H41" s="32">
        <f t="shared" si="13"/>
        <v>671.11873015896481</v>
      </c>
    </row>
    <row r="42" spans="1:10" x14ac:dyDescent="0.25">
      <c r="A42" s="35" t="s">
        <v>36</v>
      </c>
      <c r="B42" s="32"/>
      <c r="C42" s="32">
        <f>+C33-B33</f>
        <v>99.945205479452056</v>
      </c>
      <c r="D42" s="32">
        <f t="shared" ref="D42:H42" si="14">+D33-C33</f>
        <v>3.4576438356164232</v>
      </c>
      <c r="E42" s="32">
        <f t="shared" si="14"/>
        <v>4.0817013041095862</v>
      </c>
      <c r="F42" s="32">
        <f t="shared" si="14"/>
        <v>2.6734398994454693</v>
      </c>
      <c r="G42" s="32">
        <f t="shared" si="14"/>
        <v>2.2031598103724832</v>
      </c>
      <c r="H42" s="32">
        <f t="shared" si="14"/>
        <v>-112.36115032899602</v>
      </c>
    </row>
    <row r="43" spans="1:10" x14ac:dyDescent="0.25">
      <c r="A43" s="34" t="s">
        <v>37</v>
      </c>
      <c r="B43" s="29"/>
      <c r="C43" s="29">
        <f t="shared" ref="C43:H43" si="15">SUM(C40:C42)</f>
        <v>351.05479452054794</v>
      </c>
      <c r="D43" s="29">
        <f t="shared" si="15"/>
        <v>870.76621232876687</v>
      </c>
      <c r="E43" s="29">
        <f t="shared" si="15"/>
        <v>918.95487886849287</v>
      </c>
      <c r="F43" s="29">
        <f t="shared" si="15"/>
        <v>953.91780988042035</v>
      </c>
      <c r="G43" s="29">
        <f t="shared" si="15"/>
        <v>975.74584773510423</v>
      </c>
      <c r="H43" s="29">
        <f t="shared" si="15"/>
        <v>558.75757982996879</v>
      </c>
    </row>
    <row r="44" spans="1:10" x14ac:dyDescent="0.25">
      <c r="A44" s="36" t="s">
        <v>38</v>
      </c>
      <c r="B44" s="12"/>
      <c r="C44" s="12">
        <f>+C34</f>
        <v>-134.1</v>
      </c>
      <c r="D44" s="12">
        <f t="shared" ref="D44:H44" si="16">+D34</f>
        <v>-146.50304999999992</v>
      </c>
      <c r="E44" s="12">
        <f t="shared" si="16"/>
        <v>-161.93908841999988</v>
      </c>
      <c r="F44" s="12">
        <f t="shared" si="16"/>
        <v>-170.2064349153417</v>
      </c>
      <c r="G44" s="12">
        <f t="shared" si="16"/>
        <v>-176.01056361364874</v>
      </c>
      <c r="H44" s="12">
        <f t="shared" si="16"/>
        <v>0</v>
      </c>
      <c r="J44" s="4"/>
    </row>
    <row r="45" spans="1:10" x14ac:dyDescent="0.25">
      <c r="A45" s="34" t="s">
        <v>39</v>
      </c>
      <c r="B45" s="29"/>
      <c r="C45" s="29">
        <f t="shared" ref="C45:H45" si="17">+C44+C43</f>
        <v>216.95479452054795</v>
      </c>
      <c r="D45" s="29">
        <f t="shared" si="17"/>
        <v>724.26316232876695</v>
      </c>
      <c r="E45" s="29">
        <f t="shared" si="17"/>
        <v>757.01579044849302</v>
      </c>
      <c r="F45" s="29">
        <f t="shared" si="17"/>
        <v>783.71137496507868</v>
      </c>
      <c r="G45" s="29">
        <f t="shared" si="17"/>
        <v>799.73528412145549</v>
      </c>
      <c r="H45" s="29">
        <f t="shared" si="17"/>
        <v>558.75757982996879</v>
      </c>
    </row>
    <row r="46" spans="1:10" x14ac:dyDescent="0.25">
      <c r="A46" s="37" t="s">
        <v>40</v>
      </c>
      <c r="B46" s="38">
        <f>-B6</f>
        <v>-2000</v>
      </c>
      <c r="C46" s="38">
        <f>+C45</f>
        <v>216.95479452054795</v>
      </c>
      <c r="D46" s="38">
        <f t="shared" ref="D46:H46" si="18">+D45</f>
        <v>724.26316232876695</v>
      </c>
      <c r="E46" s="38">
        <f t="shared" si="18"/>
        <v>757.01579044849302</v>
      </c>
      <c r="F46" s="38">
        <f t="shared" si="18"/>
        <v>783.71137496507868</v>
      </c>
      <c r="G46" s="38">
        <f t="shared" si="18"/>
        <v>799.73528412145549</v>
      </c>
      <c r="H46" s="38">
        <f t="shared" si="18"/>
        <v>558.75757982996879</v>
      </c>
    </row>
    <row r="47" spans="1:10" ht="15.75" thickBot="1" x14ac:dyDescent="0.3">
      <c r="A47" s="39"/>
      <c r="B47" s="40"/>
      <c r="C47" s="40"/>
      <c r="D47" s="40"/>
      <c r="E47" s="40"/>
      <c r="F47" s="40"/>
      <c r="G47" s="40"/>
      <c r="H47" s="40"/>
    </row>
    <row r="48" spans="1:10" x14ac:dyDescent="0.25">
      <c r="A48" s="41"/>
      <c r="B48" s="42">
        <v>0</v>
      </c>
      <c r="C48" s="43">
        <v>1</v>
      </c>
      <c r="D48" s="43">
        <f>1+C48</f>
        <v>2</v>
      </c>
      <c r="E48" s="43">
        <f>1+D48</f>
        <v>3</v>
      </c>
      <c r="F48" s="43">
        <f>1+E48</f>
        <v>4</v>
      </c>
      <c r="G48" s="43">
        <f>1+F48</f>
        <v>5</v>
      </c>
      <c r="H48" s="44">
        <f>1+G48</f>
        <v>6</v>
      </c>
    </row>
    <row r="49" spans="1:10" x14ac:dyDescent="0.25">
      <c r="A49" s="45" t="s">
        <v>41</v>
      </c>
      <c r="B49" s="46">
        <f>SUM($B$46:B46)</f>
        <v>-2000</v>
      </c>
      <c r="C49" s="46">
        <f>SUM($B$46:C46)</f>
        <v>-1783.0452054794521</v>
      </c>
      <c r="D49" s="46">
        <f>SUM($B$46:D46)</f>
        <v>-1058.7820431506852</v>
      </c>
      <c r="E49" s="46">
        <f>SUM($B$46:E46)</f>
        <v>-301.76625270219222</v>
      </c>
      <c r="F49" s="46">
        <f>SUM($B$46:F46)</f>
        <v>481.94512226288646</v>
      </c>
      <c r="G49" s="46">
        <f>SUM($B$46:G46)</f>
        <v>1281.6804063843419</v>
      </c>
      <c r="H49" s="46">
        <f>SUM($B$46:H46)</f>
        <v>1840.4379862143107</v>
      </c>
      <c r="J49" s="47"/>
    </row>
    <row r="50" spans="1:10" x14ac:dyDescent="0.25">
      <c r="A50" s="45" t="s">
        <v>6</v>
      </c>
      <c r="B50" s="48" t="str">
        <f>IF(B49&lt;0,"X",B48)</f>
        <v>X</v>
      </c>
      <c r="C50" s="48" t="str">
        <f t="shared" ref="C50:H50" si="19">IF(C49&lt;0,"X",C48)</f>
        <v>X</v>
      </c>
      <c r="D50" s="48" t="str">
        <f t="shared" si="19"/>
        <v>X</v>
      </c>
      <c r="E50" s="48" t="str">
        <f t="shared" si="19"/>
        <v>X</v>
      </c>
      <c r="F50" s="48">
        <f t="shared" si="19"/>
        <v>4</v>
      </c>
      <c r="G50" s="48">
        <f t="shared" si="19"/>
        <v>5</v>
      </c>
      <c r="H50" s="48">
        <f t="shared" si="19"/>
        <v>6</v>
      </c>
      <c r="I50" s="49">
        <f>IF(MIN(B50:H50)=0,"NO",MIN(B50:H50))</f>
        <v>4</v>
      </c>
    </row>
    <row r="51" spans="1:10" x14ac:dyDescent="0.25">
      <c r="A51" s="50" t="s">
        <v>42</v>
      </c>
      <c r="B51" s="51">
        <f>B46/(((1+$B$8))^B48)</f>
        <v>-2000</v>
      </c>
      <c r="C51" s="51">
        <f>C46/(((1+$B$8)*(1+$B$3)^(C48-1))^C48)</f>
        <v>188.65634306134606</v>
      </c>
      <c r="D51" s="51">
        <f t="shared" ref="D51:H51" si="20">D46/(((1+$B$8)*(1+$B$3)^(D48-1))^D48)</f>
        <v>526.38120304809854</v>
      </c>
      <c r="E51" s="51">
        <f t="shared" si="20"/>
        <v>441.98790681766832</v>
      </c>
      <c r="F51" s="51">
        <f t="shared" si="20"/>
        <v>353.31553033940355</v>
      </c>
      <c r="G51" s="51">
        <f t="shared" si="20"/>
        <v>267.57998213023382</v>
      </c>
      <c r="H51" s="51">
        <f t="shared" si="20"/>
        <v>133.36173368434794</v>
      </c>
    </row>
    <row r="52" spans="1:10" x14ac:dyDescent="0.25">
      <c r="A52" s="52" t="s">
        <v>43</v>
      </c>
      <c r="B52" s="53">
        <f>SUM($B$51:B51)</f>
        <v>-2000</v>
      </c>
      <c r="C52" s="53">
        <f>SUM($B$51:C51)</f>
        <v>-1811.343656938654</v>
      </c>
      <c r="D52" s="53">
        <f>SUM($B$51:D51)</f>
        <v>-1284.9624538905555</v>
      </c>
      <c r="E52" s="53">
        <f>SUM($B$51:E51)</f>
        <v>-842.97454707288716</v>
      </c>
      <c r="F52" s="53">
        <f>SUM($B$51:F51)</f>
        <v>-489.65901673348361</v>
      </c>
      <c r="G52" s="53">
        <f>SUM($B$51:G51)</f>
        <v>-222.0790346032498</v>
      </c>
      <c r="H52" s="53">
        <f>SUM($B$51:H51)</f>
        <v>-88.717300918901856</v>
      </c>
    </row>
    <row r="53" spans="1:10" ht="15.75" thickBot="1" x14ac:dyDescent="0.3">
      <c r="A53" s="54" t="s">
        <v>8</v>
      </c>
      <c r="B53" s="55" t="str">
        <f>IF(B52&lt;0,"X",B48)</f>
        <v>X</v>
      </c>
      <c r="C53" s="55" t="str">
        <f t="shared" ref="C53:H53" si="21">IF(C52&lt;0,"X",C48)</f>
        <v>X</v>
      </c>
      <c r="D53" s="55" t="str">
        <f t="shared" si="21"/>
        <v>X</v>
      </c>
      <c r="E53" s="55" t="str">
        <f t="shared" si="21"/>
        <v>X</v>
      </c>
      <c r="F53" s="55" t="str">
        <f t="shared" si="21"/>
        <v>X</v>
      </c>
      <c r="G53" s="55" t="str">
        <f t="shared" si="21"/>
        <v>X</v>
      </c>
      <c r="H53" s="55" t="str">
        <f t="shared" si="21"/>
        <v>X</v>
      </c>
      <c r="I53" s="49" t="str">
        <f>IF(MIN(B53:H53)=0,"NO",MIN(B53:H53))</f>
        <v>NO</v>
      </c>
    </row>
  </sheetData>
  <mergeCells count="4">
    <mergeCell ref="F1:H1"/>
    <mergeCell ref="F2:H2"/>
    <mergeCell ref="F3:H3"/>
    <mergeCell ref="F4:H4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CrystalBallProject (svolto)</vt:lpstr>
    </vt:vector>
  </TitlesOfParts>
  <Company>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Marzo</dc:creator>
  <cp:lastModifiedBy>Giuseppe Marzo</cp:lastModifiedBy>
  <dcterms:created xsi:type="dcterms:W3CDTF">2016-04-05T15:31:33Z</dcterms:created>
  <dcterms:modified xsi:type="dcterms:W3CDTF">2016-04-05T15:32:23Z</dcterms:modified>
</cp:coreProperties>
</file>